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90" activeTab="0"/>
  </bookViews>
  <sheets>
    <sheet name="OVERALL" sheetId="1" r:id="rId1"/>
    <sheet name="SECURED LOANS" sheetId="2" r:id="rId2"/>
    <sheet name="RETAIL CREDIT" sheetId="3" r:id="rId3"/>
    <sheet name="UNSECURED LOANS" sheetId="4" r:id="rId4"/>
    <sheet name="CAR FINANCE" sheetId="5" r:id="rId5"/>
    <sheet name="ARREARS" sheetId="6" r:id="rId6"/>
  </sheets>
  <definedNames>
    <definedName name="DATA">#REF!</definedName>
    <definedName name="data2">#REF!</definedName>
    <definedName name="_xlnm.Print_Area" localSheetId="5">'ARREARS'!$A$1:$DD$117</definedName>
    <definedName name="_xlnm.Print_Area" localSheetId="4">'CAR FINANCE'!$A$1:$DA$132</definedName>
    <definedName name="_xlnm.Print_Area" localSheetId="0">'OVERALL'!$A$1:$CZ$118</definedName>
    <definedName name="_xlnm.Print_Area" localSheetId="2">'RETAIL CREDIT'!$A$1:$DC$143</definedName>
    <definedName name="_xlnm.Print_Area" localSheetId="1">'SECURED LOANS'!$A$1:$CC$141</definedName>
    <definedName name="_xlnm.Print_Area" localSheetId="3">'UNSECURED LOANS'!$A$1:$DD$116</definedName>
    <definedName name="_xlnm.Print_Titles" localSheetId="4">'CAR FINANCE'!$1:$4</definedName>
  </definedNames>
  <calcPr calcMode="manual" fullCalcOnLoad="1"/>
</workbook>
</file>

<file path=xl/sharedStrings.xml><?xml version="1.0" encoding="utf-8"?>
<sst xmlns="http://schemas.openxmlformats.org/spreadsheetml/2006/main" count="3999" uniqueCount="185">
  <si>
    <t>£16,000 to £17,999</t>
  </si>
  <si>
    <t>£18,000 to £19,999</t>
  </si>
  <si>
    <t>£20,000 to £24,999</t>
  </si>
  <si>
    <t>£25,000 to £29,999</t>
  </si>
  <si>
    <t>£30,000 to £44,999</t>
  </si>
  <si>
    <t>£45,000  and above</t>
  </si>
  <si>
    <t>121 to 180 months</t>
  </si>
  <si>
    <t>181 to 240 months</t>
  </si>
  <si>
    <t>241 to 300 months</t>
  </si>
  <si>
    <t>more than 300 months</t>
  </si>
  <si>
    <t>PPAF1 - OVERALL ANALYSIS</t>
  </si>
  <si>
    <t>months</t>
  </si>
  <si>
    <t>Portfolio Loans Key Features</t>
  </si>
  <si>
    <t xml:space="preserve">Average current balance outstanding </t>
  </si>
  <si>
    <t>Weighted average seasoning</t>
  </si>
  <si>
    <t>Weighted average annual yield</t>
  </si>
  <si>
    <t>Weighted average remaining term</t>
  </si>
  <si>
    <t>Under £2,000</t>
  </si>
  <si>
    <t>£2,000 to £3,999</t>
  </si>
  <si>
    <t>£4,000 to £5,999</t>
  </si>
  <si>
    <t>£6,000 to £7,999</t>
  </si>
  <si>
    <t>£8,000 to £9,999</t>
  </si>
  <si>
    <t>£10,000 to £11,999</t>
  </si>
  <si>
    <t>£12,000 to £13,999</t>
  </si>
  <si>
    <t>£14,000 to £15,999</t>
  </si>
  <si>
    <t>Under 10.00%</t>
  </si>
  <si>
    <t>0 to 12 months</t>
  </si>
  <si>
    <t>13 to 24 months</t>
  </si>
  <si>
    <t>25 to 36 months</t>
  </si>
  <si>
    <t>37 to 48 months</t>
  </si>
  <si>
    <t>49 to 60 months</t>
  </si>
  <si>
    <t>North</t>
  </si>
  <si>
    <t>North West</t>
  </si>
  <si>
    <t>Yorkshire</t>
  </si>
  <si>
    <t>East Midlands</t>
  </si>
  <si>
    <t>West Midlands</t>
  </si>
  <si>
    <t>South East (exc Greater London)</t>
  </si>
  <si>
    <t>South West</t>
  </si>
  <si>
    <t>Greater London</t>
  </si>
  <si>
    <t>Wales</t>
  </si>
  <si>
    <t>Scotland</t>
  </si>
  <si>
    <t>Nth. Ireland</t>
  </si>
  <si>
    <t>East Anglia</t>
  </si>
  <si>
    <t>&lt;=1 month</t>
  </si>
  <si>
    <t>&gt;1 &lt;=2 months</t>
  </si>
  <si>
    <t>&gt;2 &lt;=3 months</t>
  </si>
  <si>
    <t>&gt;3 &lt;=4 months</t>
  </si>
  <si>
    <t>&gt;4 &lt;=5 months</t>
  </si>
  <si>
    <t>&gt;5 &lt;=6 months</t>
  </si>
  <si>
    <t>&gt;12 months</t>
  </si>
  <si>
    <t>Motor Vehicle Hire Purchase</t>
  </si>
  <si>
    <t>Motor Vehicle Contract Purchase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</si>
  <si>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</si>
  <si>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</si>
  <si>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</si>
  <si>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</si>
  <si>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</si>
  <si>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</si>
  <si>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</si>
  <si>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</si>
  <si>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</si>
  <si>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</si>
  <si>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</si>
  <si>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100</t>
  </si>
  <si>
    <t>Weighted average loan to value</t>
  </si>
  <si>
    <t>15.00% and over</t>
  </si>
  <si>
    <t>10.00% to 10.99%</t>
  </si>
  <si>
    <t>11.00% to 11.99%</t>
  </si>
  <si>
    <t>12.00% to 12.99%</t>
  </si>
  <si>
    <t>13.00% to 13.99%</t>
  </si>
  <si>
    <t>14.00% to 14.99%</t>
  </si>
  <si>
    <t>15.00% to 15.99%</t>
  </si>
  <si>
    <t>16.00% to 16.99%</t>
  </si>
  <si>
    <t>17.00% to 17.99%</t>
  </si>
  <si>
    <t>18.00% to 18.99%</t>
  </si>
  <si>
    <t>19.00% to 19.99%</t>
  </si>
  <si>
    <t>20.00% and above</t>
  </si>
  <si>
    <t>&gt;6 &lt;=9 months</t>
  </si>
  <si>
    <t>&gt;9 &lt;=12 months</t>
  </si>
  <si>
    <t>years</t>
  </si>
  <si>
    <t>&gt; 95 &lt; = 100</t>
  </si>
  <si>
    <t xml:space="preserve">Variable </t>
  </si>
  <si>
    <t>Fixed</t>
  </si>
  <si>
    <t>61 to 72 months</t>
  </si>
  <si>
    <t>73 to 84 months</t>
  </si>
  <si>
    <t>85 to 96 months</t>
  </si>
  <si>
    <t>97 to 108 months</t>
  </si>
  <si>
    <t>109 to 120 months</t>
  </si>
  <si>
    <t>Other</t>
  </si>
  <si>
    <t>Deferred payment loans</t>
  </si>
  <si>
    <t>Non Deferred</t>
  </si>
  <si>
    <t>Brown electrical</t>
  </si>
  <si>
    <t>Carpets</t>
  </si>
  <si>
    <t>Electronics incl. Computers</t>
  </si>
  <si>
    <t>Furniture</t>
  </si>
  <si>
    <t>Photographic</t>
  </si>
  <si>
    <t>Plastic surgery</t>
  </si>
  <si>
    <t>White electrical</t>
  </si>
  <si>
    <t>PARAGON PERSONAL AND AUTO FINANCE (NO.1) PLC - AS AT DEAL INCEPTION</t>
  </si>
  <si>
    <t>CURRENT BALANCE</t>
  </si>
  <si>
    <t>PER CENT</t>
  </si>
  <si>
    <t>NUMBER</t>
  </si>
  <si>
    <t xml:space="preserve">DISTRIBUTION BY GEOGRAPHICAL REGIONS </t>
  </si>
  <si>
    <t xml:space="preserve">DISTRIBUTION  BY SEASONING </t>
  </si>
  <si>
    <t>* THIS REPRESENTS LOANS WHICH HAVE NO RECORDED POSTCODE AND/OR CAR FINANCE</t>
  </si>
  <si>
    <t>Unallocated *</t>
  </si>
  <si>
    <t>SECURED LOANS</t>
  </si>
  <si>
    <t>PORTFOLIO LOANS ORIGINATED BY PARAGON PERSONAL FINANCE LIMITED</t>
  </si>
  <si>
    <t xml:space="preserve">DISTRIBUTION BY LOAN TO VALUE RATIOS </t>
  </si>
  <si>
    <t>DISTRIBUTION BY INTEREST RATE</t>
  </si>
  <si>
    <t>DISTRIBUTION BY REMAINING TERM</t>
  </si>
  <si>
    <t>DISTRIBUTION BY GEOGRAPHICAL REGIONS</t>
  </si>
  <si>
    <t>NUMBER OF MONTHS IN ARREARS</t>
  </si>
  <si>
    <t>RETAIL CREDIT</t>
  </si>
  <si>
    <t>PORTFOLIO LOANS ORIGINATED BY PARAGON PERSONAL FINANCE AND COLONIAL FINANCE (UK)</t>
  </si>
  <si>
    <t>DISTRIBUTION BY SEASONING</t>
  </si>
  <si>
    <t>PRODUCT TYPE</t>
  </si>
  <si>
    <t>GOODS CATEGORY</t>
  </si>
  <si>
    <t xml:space="preserve"> </t>
  </si>
  <si>
    <t>UNSECURED LOANS</t>
  </si>
  <si>
    <t>PORTFOLIO LOANS ORIGINATED BY PARAGON PERSONAL FINANCE LIMITED AND COLONIAL FINANCE UK</t>
  </si>
  <si>
    <t>DISTRIBUTION BY CURRENT PRINCIPAL BALANCE</t>
  </si>
  <si>
    <t xml:space="preserve">PORTFOLIO LOANS BY NUMBER OF MONTHS IN ARREARS </t>
  </si>
  <si>
    <t>CAR FINANCE</t>
  </si>
  <si>
    <t>PORTFOLIO LOANS ORIGINATED BY PARAGON CAR FINANCE LIMITED</t>
  </si>
  <si>
    <t>DISTRIBUTING BY SEASONING</t>
  </si>
  <si>
    <t>Motor Vehicle Conditional Sale</t>
  </si>
  <si>
    <t xml:space="preserve">DISTRIBUTION BY CURRENT PRINCIPAL BALANCE </t>
  </si>
  <si>
    <t xml:space="preserve">DISTRIBUTION BY SEASONING </t>
  </si>
  <si>
    <t xml:space="preserve">PORTFOLIO LOANS DISTRIBUTION BY RATE FIXING METHOD </t>
  </si>
  <si>
    <t xml:space="preserve">NUMBER OF MONTHS IN ARREARS </t>
  </si>
  <si>
    <t xml:space="preserve">NUMBER OF MONTHS IN ARREARS   </t>
  </si>
  <si>
    <t>ARREARS BY ORIGINATOR AND ASSET TYPE</t>
  </si>
  <si>
    <t>UNSECURED LOANS ORIGINATED BY COLONIAL FINANCE (UK) LIMITED</t>
  </si>
  <si>
    <t>RETAIL CREDIT LOANS ORIGINATED BY COLONIAL FINANCE (UK) LIMITED</t>
  </si>
  <si>
    <t>UNSECURED LOANS ORIGINATED BY PARAGON PERSONAL FINANCE LIMITED</t>
  </si>
  <si>
    <t>RETAIL CREDIT LOANS ORIGINATED BY PARAGON PERSONAL FINANCE LIMITED</t>
  </si>
  <si>
    <t>SECURED LOANS LOANS ORIGINATED BY PARAGON PERSONAL FINANCE LIMITED</t>
  </si>
  <si>
    <t>CAR LOANS ORIGINATED BY PARAGON CAR FINANCE LIMITED</t>
  </si>
  <si>
    <t>CONTRACTS MADE WITH BRITISH FORCES PERSONNEL</t>
  </si>
  <si>
    <t>Per cent.</t>
  </si>
  <si>
    <t xml:space="preserve">DISTRIBUTION BY REMAINING TERM </t>
  </si>
  <si>
    <t>PARAGON PERSONAL AND AUTO FINANCE (NO.1) PLC - AS AT THE AUGUST 2001</t>
  </si>
  <si>
    <t>PRINCIPAL DETERMINATION DATE - 31/08/01</t>
  </si>
  <si>
    <t>PRINCIPAL DETERMINATION DATE - 30/11/01</t>
  </si>
  <si>
    <t>PARAGON PERSONAL AND AUTO FINANCE (NO.1) PLC - AS AT THE NOVEMBER 2001</t>
  </si>
  <si>
    <t>PARAGON PERSONAL AND AUTO FINANCE (NO.1) PLC - AS AT THE FEBRUARY 2002</t>
  </si>
  <si>
    <t>PRINCIPAL DETERMINATION DATE - 28/02/02</t>
  </si>
  <si>
    <t>PARAGON PERSONAL AND AUTO FINANCE (NO.1) PLC - AS AT THE MAY 2002</t>
  </si>
  <si>
    <t>PRINCIPAL DETERMINATION DATE - 03/06/02</t>
  </si>
  <si>
    <t>PARAGON PERSONAL AND AUTO FINANCE (NO.1) PLC - AS AT THE AUGUST 2002</t>
  </si>
  <si>
    <t>PRINCIPAL DETERMINATION DATE - 02/09/02</t>
  </si>
  <si>
    <t>PEan CENT</t>
  </si>
  <si>
    <t>PARAGON PERSONAL AND AUTO FINANCE (NO.1) PLC - AS AT THE NOVEMBER 2002</t>
  </si>
  <si>
    <t>PRINCIPAL DETERMINATION DATE - 02/12/02</t>
  </si>
  <si>
    <t>PARAGON PERSONAL AND AUTO FINANCE (NO.1) PLC - AS AT NOVEMBER 2002</t>
  </si>
  <si>
    <t>PARAGON PERSONAL AND AUTO FINANCE (NO.1) PLC - AS AT THE FEBRUARY 2003</t>
  </si>
  <si>
    <t>PRINCIPAL DETERMINATION DATE - 03/03/03</t>
  </si>
  <si>
    <t>PARAGON PERSONAL AND AUTO FINANCE (NO.1) PLC - AS AT FEBRUARY 2003</t>
  </si>
  <si>
    <t>PARAGON PERSONAL AND AUTO FINANCE (NO.1) PLC - AS AT THE MAY 2003</t>
  </si>
  <si>
    <t>PRINCIPAL DETERMINATION DATE - 02/06/03</t>
  </si>
  <si>
    <t>PARAGON PERSONAL AND AUTO FINANCE (NO.1) PLC - AS AT MAY 2003</t>
  </si>
  <si>
    <t>PARAGON PERSONAL AND AUTO FINANCE (NO.1) PLC - AS AT AUGUST 2003</t>
  </si>
  <si>
    <t>PRINCIPAL DETERMINATION DATE - 01/09/03</t>
  </si>
  <si>
    <t>PARAGON PERSONAL AND AUTO FINANCE (NO.1) PLC - AS AT THE AUGUST 2003</t>
  </si>
  <si>
    <t>PEAU CENT</t>
  </si>
  <si>
    <t>PARAGON PERSONAL AND AUTO FINANCE (NO.1) PLC - AS AT NOVEMBER 2003</t>
  </si>
  <si>
    <t>PRINCIPAL DETERMINATION DATE - 01/12/03</t>
  </si>
  <si>
    <t>PARAGON PERSONAL AND AUTO FINANCE (NO.1) PLC - AS AT THE NOVEMBER 2003</t>
  </si>
  <si>
    <t>PARAGON PERSONAL AND AUTO FINANCE (NO.1) PLC - AS AT THE FEBRUARY 2004</t>
  </si>
  <si>
    <t>PRINCIPAL DETERMINATION DATE - 01/03/04</t>
  </si>
  <si>
    <t>PARAGON PERSONAL AND AUTO FINANCE (NO.1) PLC - AS AT FEBRUARY 2004</t>
  </si>
  <si>
    <t>PARAGON PERSONAL AND AUTO FINANCE (NO.1) PLC - AS AT THE MAY 2004</t>
  </si>
  <si>
    <t>PRINCIPAL DETERMINATION DATE - 01/06/04</t>
  </si>
  <si>
    <t>PARAGON PERSONAL AND AUTO FINANCE (NO.1) PLC - AS AT MAY 2004</t>
  </si>
  <si>
    <t>PARAGON PERSONAL AND AUTO FINANCE (NO.1) PLC - AS AT THE AUGUST 2004</t>
  </si>
  <si>
    <t>PRINCIPAL DETERMINATION DATE - 01/09/04</t>
  </si>
  <si>
    <t>PARAGON PERSONAL AND AUTO FINANCE (NO.1) PLC - AS AT AUGUST 2004</t>
  </si>
  <si>
    <t xml:space="preserve">DISTRIBTTION BY GEOGRAPHICAL REGIONS </t>
  </si>
  <si>
    <t xml:space="preserve">DISTRIBTTION BY CURRENT PRINCIPAL BALANCE </t>
  </si>
  <si>
    <t>DISTRIBTTION BY INTEREST RATE</t>
  </si>
  <si>
    <t xml:space="preserve">DISTRIBTTION  BY SEASONING </t>
  </si>
  <si>
    <t>PARAGON PERSONAL AND AUTO FINANCE (NO.1) PLC - AS AT THE NOVEMBER 2004</t>
  </si>
  <si>
    <t>PRINCIPAL DETERMINATION DATE - 01/12/04</t>
  </si>
  <si>
    <t>PARAGON PERSONAL AND AUTO FINANCE (NO.1) PLC - AS AT NOVEMBER 2004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</si>
</sst>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0.000"/>
    <numFmt numFmtId="176" formatCode="_-* #,##0.000_-;\-* #,##0.000_-;_-* &quot;-&quot;??_-;_-@_-"/>
    <numFmt numFmtId="177" formatCode="_-* #,##0.0000_-;\-* #,##0.0000_-;_-* &quot;-&quot;??_-;_-@_-"/>
    <numFmt numFmtId="178" formatCode="0.000%"/>
    <numFmt numFmtId="179" formatCode="#,##0.00_ ;\-#,##0.00\ "/>
    <numFmt numFmtId="180" formatCode="#,##0.0000_ ;\-#,##0.0000\ "/>
    <numFmt numFmtId="181" formatCode="#,##0.0000000"/>
    <numFmt numFmtId="182" formatCode="&quot;£&quot;#,##0.0000000"/>
    <numFmt numFmtId="183" formatCode="&quot;£&quot;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26"/>
      <color indexed="39"/>
      <name val="Arial"/>
      <family val="2"/>
    </font>
    <font>
      <sz val="10"/>
      <color indexed="39"/>
      <name val="Arial"/>
      <family val="2"/>
    </font>
    <font>
      <b/>
      <sz val="14"/>
      <color indexed="39"/>
      <name val="Arial"/>
      <family val="2"/>
    </font>
    <font>
      <b/>
      <sz val="10"/>
      <color indexed="39"/>
      <name val="Arial"/>
      <family val="2"/>
    </font>
    <font>
      <i/>
      <sz val="10"/>
      <color indexed="39"/>
      <name val="Arial"/>
      <family val="2"/>
    </font>
    <font>
      <b/>
      <i/>
      <sz val="10"/>
      <color indexed="3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174" fontId="0" fillId="0" borderId="0" xfId="15" applyNumberFormat="1" applyAlignment="1">
      <alignment/>
    </xf>
    <xf numFmtId="174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10" fontId="1" fillId="0" borderId="0" xfId="21" applyNumberFormat="1" applyFont="1" applyAlignment="1">
      <alignment/>
    </xf>
    <xf numFmtId="174" fontId="2" fillId="2" borderId="0" xfId="15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74" fontId="3" fillId="2" borderId="0" xfId="15" applyNumberFormat="1" applyFont="1" applyFill="1" applyAlignment="1">
      <alignment/>
    </xf>
    <xf numFmtId="174" fontId="4" fillId="2" borderId="0" xfId="15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0" fontId="3" fillId="2" borderId="0" xfId="21" applyNumberFormat="1" applyFont="1" applyFill="1" applyAlignment="1">
      <alignment/>
    </xf>
    <xf numFmtId="44" fontId="3" fillId="2" borderId="0" xfId="17" applyFont="1" applyFill="1" applyAlignment="1">
      <alignment horizontal="right"/>
    </xf>
    <xf numFmtId="43" fontId="3" fillId="2" borderId="0" xfId="0" applyNumberFormat="1" applyFont="1" applyFill="1" applyAlignment="1">
      <alignment horizontal="right"/>
    </xf>
    <xf numFmtId="10" fontId="3" fillId="2" borderId="0" xfId="21" applyNumberFormat="1" applyFont="1" applyFill="1" applyAlignment="1">
      <alignment horizontal="right"/>
    </xf>
    <xf numFmtId="176" fontId="3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43" fontId="5" fillId="2" borderId="0" xfId="15" applyFont="1" applyFill="1" applyAlignment="1">
      <alignment/>
    </xf>
    <xf numFmtId="43" fontId="5" fillId="2" borderId="1" xfId="15" applyFont="1" applyFill="1" applyBorder="1" applyAlignment="1">
      <alignment/>
    </xf>
    <xf numFmtId="174" fontId="5" fillId="2" borderId="1" xfId="15" applyNumberFormat="1" applyFont="1" applyFill="1" applyBorder="1" applyAlignment="1">
      <alignment/>
    </xf>
    <xf numFmtId="10" fontId="5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43" fontId="9" fillId="2" borderId="0" xfId="15" applyFont="1" applyFill="1" applyAlignment="1">
      <alignment/>
    </xf>
    <xf numFmtId="174" fontId="9" fillId="2" borderId="0" xfId="15" applyNumberFormat="1" applyFont="1" applyFill="1" applyAlignment="1">
      <alignment/>
    </xf>
    <xf numFmtId="0" fontId="8" fillId="0" borderId="0" xfId="0" applyFont="1" applyAlignment="1">
      <alignment/>
    </xf>
    <xf numFmtId="43" fontId="5" fillId="2" borderId="0" xfId="15" applyFont="1" applyFill="1" applyBorder="1" applyAlignment="1">
      <alignment/>
    </xf>
    <xf numFmtId="174" fontId="5" fillId="2" borderId="0" xfId="15" applyNumberFormat="1" applyFont="1" applyFill="1" applyBorder="1" applyAlignment="1">
      <alignment/>
    </xf>
    <xf numFmtId="43" fontId="3" fillId="2" borderId="0" xfId="0" applyNumberFormat="1" applyFont="1" applyFill="1" applyAlignment="1">
      <alignment/>
    </xf>
    <xf numFmtId="10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43" fontId="0" fillId="2" borderId="0" xfId="15" applyFill="1" applyAlignment="1">
      <alignment/>
    </xf>
    <xf numFmtId="174" fontId="0" fillId="2" borderId="0" xfId="15" applyNumberFormat="1" applyFill="1" applyAlignment="1">
      <alignment/>
    </xf>
    <xf numFmtId="0" fontId="3" fillId="2" borderId="0" xfId="0" applyFont="1" applyFill="1" applyAlignment="1">
      <alignment horizontal="right"/>
    </xf>
    <xf numFmtId="174" fontId="8" fillId="2" borderId="0" xfId="15" applyNumberFormat="1" applyFont="1" applyFill="1" applyAlignment="1">
      <alignment/>
    </xf>
    <xf numFmtId="0" fontId="1" fillId="2" borderId="0" xfId="0" applyFont="1" applyFill="1" applyAlignment="1">
      <alignment/>
    </xf>
    <xf numFmtId="43" fontId="1" fillId="2" borderId="0" xfId="15" applyFont="1" applyFill="1" applyAlignment="1">
      <alignment/>
    </xf>
    <xf numFmtId="10" fontId="1" fillId="2" borderId="0" xfId="21" applyNumberFormat="1" applyFont="1" applyFill="1" applyAlignment="1">
      <alignment/>
    </xf>
    <xf numFmtId="174" fontId="1" fillId="2" borderId="0" xfId="15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0" borderId="0" xfId="0" applyFont="1" applyAlignment="1">
      <alignment/>
    </xf>
    <xf numFmtId="3" fontId="3" fillId="2" borderId="0" xfId="0" applyNumberFormat="1" applyFont="1" applyFill="1" applyAlignment="1">
      <alignment/>
    </xf>
    <xf numFmtId="43" fontId="1" fillId="0" borderId="0" xfId="15" applyFont="1" applyBorder="1" applyAlignment="1">
      <alignment/>
    </xf>
    <xf numFmtId="174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174" fontId="0" fillId="0" borderId="0" xfId="15" applyNumberFormat="1" applyBorder="1" applyAlignment="1">
      <alignment/>
    </xf>
    <xf numFmtId="174" fontId="5" fillId="2" borderId="0" xfId="15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74" fontId="3" fillId="2" borderId="0" xfId="15" applyNumberFormat="1" applyFont="1" applyFill="1" applyBorder="1" applyAlignment="1">
      <alignment/>
    </xf>
    <xf numFmtId="10" fontId="3" fillId="2" borderId="0" xfId="21" applyNumberFormat="1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10" fontId="0" fillId="0" borderId="0" xfId="21" applyNumberFormat="1" applyBorder="1" applyAlignment="1">
      <alignment/>
    </xf>
    <xf numFmtId="10" fontId="1" fillId="0" borderId="0" xfId="0" applyNumberFormat="1" applyFont="1" applyBorder="1" applyAlignment="1">
      <alignment/>
    </xf>
    <xf numFmtId="43" fontId="3" fillId="2" borderId="0" xfId="15" applyFont="1" applyFill="1" applyBorder="1" applyAlignment="1">
      <alignment/>
    </xf>
    <xf numFmtId="0" fontId="9" fillId="2" borderId="0" xfId="0" applyFont="1" applyFill="1" applyBorder="1" applyAlignment="1">
      <alignment/>
    </xf>
    <xf numFmtId="174" fontId="9" fillId="2" borderId="0" xfId="15" applyNumberFormat="1" applyFont="1" applyFill="1" applyBorder="1" applyAlignment="1">
      <alignment/>
    </xf>
    <xf numFmtId="43" fontId="0" fillId="2" borderId="0" xfId="15" applyFill="1" applyBorder="1" applyAlignment="1">
      <alignment/>
    </xf>
    <xf numFmtId="43" fontId="1" fillId="2" borderId="0" xfId="15" applyFont="1" applyFill="1" applyBorder="1" applyAlignment="1">
      <alignment/>
    </xf>
    <xf numFmtId="10" fontId="0" fillId="0" borderId="0" xfId="0" applyNumberFormat="1" applyBorder="1" applyAlignment="1">
      <alignment/>
    </xf>
    <xf numFmtId="0" fontId="7" fillId="2" borderId="0" xfId="0" applyFont="1" applyFill="1" applyBorder="1" applyAlignment="1">
      <alignment/>
    </xf>
    <xf numFmtId="10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3" fillId="2" borderId="0" xfId="15" applyNumberFormat="1" applyFont="1" applyFill="1" applyAlignment="1">
      <alignment/>
    </xf>
    <xf numFmtId="3" fontId="3" fillId="2" borderId="0" xfId="15" applyNumberFormat="1" applyFont="1" applyFill="1" applyAlignment="1">
      <alignment/>
    </xf>
    <xf numFmtId="4" fontId="3" fillId="2" borderId="0" xfId="15" applyNumberFormat="1" applyFont="1" applyFill="1" applyAlignment="1">
      <alignment/>
    </xf>
    <xf numFmtId="174" fontId="5" fillId="2" borderId="1" xfId="15" applyNumberFormat="1" applyFont="1" applyFill="1" applyBorder="1" applyAlignment="1" quotePrefix="1">
      <alignment/>
    </xf>
    <xf numFmtId="43" fontId="5" fillId="2" borderId="1" xfId="15" applyFont="1" applyFill="1" applyBorder="1" applyAlignment="1" quotePrefix="1">
      <alignment/>
    </xf>
    <xf numFmtId="4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43" fontId="0" fillId="2" borderId="0" xfId="0" applyNumberFormat="1" applyFill="1" applyAlignment="1">
      <alignment/>
    </xf>
    <xf numFmtId="10" fontId="5" fillId="2" borderId="0" xfId="21" applyNumberFormat="1" applyFont="1" applyFill="1" applyAlignment="1">
      <alignment/>
    </xf>
    <xf numFmtId="10" fontId="9" fillId="2" borderId="0" xfId="21" applyNumberFormat="1" applyFont="1" applyFill="1" applyAlignment="1">
      <alignment/>
    </xf>
    <xf numFmtId="174" fontId="2" fillId="2" borderId="0" xfId="15" applyNumberFormat="1" applyFont="1" applyFill="1" applyAlignment="1">
      <alignment horizontal="left"/>
    </xf>
    <xf numFmtId="4" fontId="3" fillId="2" borderId="0" xfId="0" applyNumberFormat="1" applyFont="1" applyFill="1" applyBorder="1" applyAlignment="1">
      <alignment/>
    </xf>
    <xf numFmtId="178" fontId="3" fillId="2" borderId="0" xfId="15" applyNumberFormat="1" applyFont="1" applyFill="1" applyBorder="1" applyAlignment="1">
      <alignment/>
    </xf>
    <xf numFmtId="10" fontId="3" fillId="2" borderId="0" xfId="15" applyNumberFormat="1" applyFont="1" applyFill="1" applyBorder="1" applyAlignment="1">
      <alignment/>
    </xf>
    <xf numFmtId="176" fontId="3" fillId="2" borderId="0" xfId="15" applyNumberFormat="1" applyFont="1" applyFill="1" applyAlignment="1">
      <alignment/>
    </xf>
    <xf numFmtId="174" fontId="9" fillId="2" borderId="0" xfId="15" applyNumberFormat="1" applyFont="1" applyFill="1" applyAlignment="1">
      <alignment horizontal="right"/>
    </xf>
    <xf numFmtId="43" fontId="9" fillId="2" borderId="0" xfId="15" applyFont="1" applyFill="1" applyAlignment="1">
      <alignment horizontal="right"/>
    </xf>
    <xf numFmtId="43" fontId="0" fillId="0" borderId="0" xfId="0" applyNumberFormat="1" applyAlignment="1">
      <alignment/>
    </xf>
    <xf numFmtId="174" fontId="7" fillId="2" borderId="0" xfId="15" applyNumberFormat="1" applyFont="1" applyFill="1" applyAlignment="1">
      <alignment/>
    </xf>
    <xf numFmtId="174" fontId="3" fillId="2" borderId="0" xfId="0" applyNumberFormat="1" applyFont="1" applyFill="1" applyAlignment="1">
      <alignment/>
    </xf>
    <xf numFmtId="10" fontId="0" fillId="0" borderId="0" xfId="21" applyNumberFormat="1" applyAlignment="1">
      <alignment/>
    </xf>
    <xf numFmtId="10" fontId="9" fillId="2" borderId="0" xfId="21" applyNumberFormat="1" applyFont="1" applyFill="1" applyAlignment="1">
      <alignment horizontal="right"/>
    </xf>
    <xf numFmtId="171" fontId="3" fillId="2" borderId="0" xfId="0" applyNumberFormat="1" applyFont="1" applyFill="1" applyAlignment="1">
      <alignment/>
    </xf>
    <xf numFmtId="171" fontId="7" fillId="2" borderId="0" xfId="0" applyNumberFormat="1" applyFont="1" applyFill="1" applyBorder="1" applyAlignment="1">
      <alignment/>
    </xf>
    <xf numFmtId="171" fontId="3" fillId="2" borderId="0" xfId="0" applyNumberFormat="1" applyFont="1" applyFill="1" applyBorder="1" applyAlignment="1">
      <alignment/>
    </xf>
    <xf numFmtId="43" fontId="7" fillId="2" borderId="0" xfId="15" applyFont="1" applyFill="1" applyAlignment="1">
      <alignment/>
    </xf>
    <xf numFmtId="176" fontId="0" fillId="0" borderId="0" xfId="15" applyNumberFormat="1" applyAlignment="1">
      <alignment/>
    </xf>
    <xf numFmtId="43" fontId="3" fillId="2" borderId="0" xfId="15" applyNumberFormat="1" applyFont="1" applyFill="1" applyAlignment="1">
      <alignment/>
    </xf>
    <xf numFmtId="174" fontId="2" fillId="2" borderId="0" xfId="15" applyNumberFormat="1" applyFont="1" applyFill="1" applyAlignment="1">
      <alignment horizontal="center"/>
    </xf>
    <xf numFmtId="174" fontId="4" fillId="2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8"/>
  <sheetViews>
    <sheetView tabSelected="1" view="pageBreakPreview" zoomScale="60" workbookViewId="0" topLeftCell="CR1">
      <selection activeCell="CU1" sqref="CU1:CX1"/>
    </sheetView>
  </sheetViews>
  <sheetFormatPr defaultColWidth="9.140625" defaultRowHeight="12.75"/>
  <cols>
    <col min="3" max="3" width="16.57421875" style="0" customWidth="1"/>
    <col min="4" max="4" width="24.00390625" style="2" customWidth="1"/>
    <col min="5" max="5" width="12.28125" style="0" customWidth="1"/>
    <col min="6" max="6" width="12.57421875" style="3" customWidth="1"/>
    <col min="7" max="7" width="14.57421875" style="0" customWidth="1"/>
    <col min="8" max="8" width="8.28125" style="0" customWidth="1"/>
    <col min="9" max="9" width="27.57421875" style="0" customWidth="1"/>
    <col min="10" max="10" width="13.421875" style="0" customWidth="1"/>
    <col min="11" max="11" width="16.57421875" style="0" customWidth="1"/>
    <col min="12" max="12" width="12.7109375" style="0" customWidth="1"/>
    <col min="13" max="13" width="10.421875" style="0" bestFit="1" customWidth="1"/>
    <col min="14" max="14" width="12.57421875" style="0" customWidth="1"/>
    <col min="15" max="15" width="13.7109375" style="0" customWidth="1"/>
    <col min="16" max="16" width="24.8515625" style="0" customWidth="1"/>
    <col min="17" max="17" width="12.28125" style="0" customWidth="1"/>
    <col min="18" max="18" width="14.57421875" style="0" customWidth="1"/>
    <col min="19" max="19" width="13.8515625" style="0" customWidth="1"/>
    <col min="20" max="20" width="12.28125" style="0" customWidth="1"/>
    <col min="21" max="21" width="11.7109375" style="0" customWidth="1"/>
    <col min="22" max="22" width="16.00390625" style="0" customWidth="1"/>
    <col min="23" max="23" width="35.7109375" style="0" customWidth="1"/>
    <col min="24" max="24" width="13.7109375" style="0" customWidth="1"/>
    <col min="25" max="25" width="13.421875" style="0" customWidth="1"/>
    <col min="26" max="26" width="16.00390625" style="0" customWidth="1"/>
    <col min="27" max="27" width="17.57421875" style="0" customWidth="1"/>
    <col min="28" max="28" width="15.57421875" style="0" customWidth="1"/>
    <col min="30" max="30" width="9.57421875" style="0" customWidth="1"/>
    <col min="31" max="31" width="28.140625" style="0" customWidth="1"/>
    <col min="32" max="32" width="18.421875" style="0" customWidth="1"/>
    <col min="33" max="33" width="22.8515625" style="0" customWidth="1"/>
    <col min="34" max="34" width="24.140625" style="0" customWidth="1"/>
    <col min="35" max="35" width="12.8515625" style="0" customWidth="1"/>
    <col min="36" max="36" width="9.140625" style="0" hidden="1" customWidth="1"/>
    <col min="38" max="38" width="35.28125" style="0" customWidth="1"/>
    <col min="39" max="39" width="16.7109375" style="0" customWidth="1"/>
    <col min="40" max="40" width="15.57421875" style="0" customWidth="1"/>
    <col min="41" max="41" width="16.57421875" style="0" customWidth="1"/>
    <col min="42" max="42" width="13.421875" style="0" customWidth="1"/>
    <col min="43" max="43" width="13.140625" style="0" customWidth="1"/>
    <col min="45" max="45" width="27.28125" style="0" customWidth="1"/>
    <col min="46" max="46" width="14.57421875" style="0" customWidth="1"/>
    <col min="47" max="47" width="16.57421875" style="0" customWidth="1"/>
    <col min="48" max="48" width="16.7109375" style="0" customWidth="1"/>
    <col min="49" max="49" width="12.421875" style="0" customWidth="1"/>
    <col min="50" max="50" width="15.57421875" style="0" customWidth="1"/>
    <col min="52" max="52" width="33.421875" style="0" customWidth="1"/>
    <col min="53" max="53" width="16.28125" style="0" customWidth="1"/>
    <col min="54" max="54" width="17.7109375" style="0" customWidth="1"/>
    <col min="55" max="55" width="15.140625" style="0" customWidth="1"/>
    <col min="59" max="59" width="38.7109375" style="0" customWidth="1"/>
    <col min="60" max="60" width="16.28125" style="0" customWidth="1"/>
    <col min="61" max="61" width="14.8515625" style="0" customWidth="1"/>
    <col min="62" max="62" width="14.421875" style="0" customWidth="1"/>
    <col min="66" max="66" width="29.140625" style="0" customWidth="1"/>
    <col min="67" max="67" width="25.8515625" style="0" customWidth="1"/>
    <col min="68" max="68" width="18.57421875" style="0" customWidth="1"/>
    <col min="69" max="69" width="13.421875" style="0" bestFit="1" customWidth="1"/>
    <col min="73" max="73" width="33.00390625" style="0" customWidth="1"/>
    <col min="74" max="74" width="15.140625" style="0" customWidth="1"/>
    <col min="75" max="75" width="22.28125" style="0" customWidth="1"/>
    <col min="76" max="76" width="13.421875" style="0" bestFit="1" customWidth="1"/>
    <col min="80" max="80" width="33.421875" style="0" customWidth="1"/>
    <col min="81" max="81" width="20.57421875" style="0" customWidth="1"/>
    <col min="82" max="82" width="17.00390625" style="0" customWidth="1"/>
    <col min="83" max="83" width="15.8515625" style="0" customWidth="1"/>
    <col min="87" max="87" width="40.140625" style="0" customWidth="1"/>
    <col min="88" max="88" width="18.8515625" style="0" customWidth="1"/>
    <col min="89" max="89" width="23.7109375" style="0" customWidth="1"/>
    <col min="90" max="90" width="16.57421875" style="0" customWidth="1"/>
    <col min="93" max="93" width="25.140625" style="0" customWidth="1"/>
    <col min="94" max="94" width="21.7109375" style="0" customWidth="1"/>
    <col min="95" max="95" width="17.00390625" style="0" customWidth="1"/>
    <col min="96" max="96" width="30.140625" style="0" customWidth="1"/>
    <col min="99" max="99" width="40.421875" style="0" customWidth="1"/>
    <col min="100" max="100" width="19.421875" style="0" customWidth="1"/>
    <col min="101" max="101" width="20.28125" style="0" customWidth="1"/>
    <col min="102" max="102" width="22.7109375" style="0" customWidth="1"/>
    <col min="106" max="106" width="18.28125" style="0" bestFit="1" customWidth="1"/>
  </cols>
  <sheetData>
    <row r="1" spans="1:104" ht="33.75">
      <c r="A1" s="101" t="s">
        <v>10</v>
      </c>
      <c r="B1" s="101"/>
      <c r="C1" s="101"/>
      <c r="D1" s="101"/>
      <c r="E1" s="101"/>
      <c r="F1" s="101"/>
      <c r="G1" s="101"/>
      <c r="H1" s="7"/>
      <c r="I1" s="101" t="s">
        <v>10</v>
      </c>
      <c r="J1" s="101"/>
      <c r="K1" s="101"/>
      <c r="L1" s="101"/>
      <c r="M1" s="101"/>
      <c r="N1" s="101"/>
      <c r="O1" s="101"/>
      <c r="P1" s="101" t="s">
        <v>10</v>
      </c>
      <c r="Q1" s="101"/>
      <c r="R1" s="101"/>
      <c r="S1" s="101"/>
      <c r="T1" s="101"/>
      <c r="U1" s="101"/>
      <c r="V1" s="101"/>
      <c r="W1" s="101" t="s">
        <v>10</v>
      </c>
      <c r="X1" s="101"/>
      <c r="Y1" s="101"/>
      <c r="Z1" s="101"/>
      <c r="AA1" s="101"/>
      <c r="AB1" s="101"/>
      <c r="AC1" s="101"/>
      <c r="AD1" s="34"/>
      <c r="AE1" s="101" t="s">
        <v>10</v>
      </c>
      <c r="AF1" s="101"/>
      <c r="AG1" s="101"/>
      <c r="AH1" s="101"/>
      <c r="AI1" s="101"/>
      <c r="AJ1" s="101"/>
      <c r="AK1" s="101"/>
      <c r="AL1" s="101" t="s">
        <v>10</v>
      </c>
      <c r="AM1" s="101"/>
      <c r="AN1" s="101"/>
      <c r="AO1" s="101"/>
      <c r="AP1" s="101"/>
      <c r="AQ1" s="101"/>
      <c r="AR1" s="7"/>
      <c r="AS1" s="101" t="s">
        <v>10</v>
      </c>
      <c r="AT1" s="101"/>
      <c r="AU1" s="101"/>
      <c r="AV1" s="101"/>
      <c r="AW1" s="101"/>
      <c r="AX1" s="101"/>
      <c r="AY1" s="7"/>
      <c r="AZ1" s="101" t="s">
        <v>10</v>
      </c>
      <c r="BA1" s="101"/>
      <c r="BB1" s="101"/>
      <c r="BC1" s="101"/>
      <c r="BD1" s="101"/>
      <c r="BE1" s="101"/>
      <c r="BF1" s="7"/>
      <c r="BG1" s="101" t="s">
        <v>10</v>
      </c>
      <c r="BH1" s="101"/>
      <c r="BI1" s="101"/>
      <c r="BJ1" s="101"/>
      <c r="BK1" s="101"/>
      <c r="BL1" s="101"/>
      <c r="BM1" s="7"/>
      <c r="BN1" s="101" t="s">
        <v>10</v>
      </c>
      <c r="BO1" s="101"/>
      <c r="BP1" s="101"/>
      <c r="BQ1" s="101"/>
      <c r="BR1" s="101"/>
      <c r="BS1" s="101"/>
      <c r="BT1" s="7"/>
      <c r="BU1" s="101" t="s">
        <v>10</v>
      </c>
      <c r="BV1" s="101"/>
      <c r="BW1" s="101"/>
      <c r="BX1" s="101"/>
      <c r="BY1" s="101"/>
      <c r="BZ1" s="101"/>
      <c r="CA1" s="7"/>
      <c r="CB1" s="101" t="s">
        <v>10</v>
      </c>
      <c r="CC1" s="101"/>
      <c r="CD1" s="101"/>
      <c r="CE1" s="101"/>
      <c r="CF1" s="101"/>
      <c r="CG1" s="101"/>
      <c r="CH1" s="7"/>
      <c r="CI1" s="101" t="s">
        <v>10</v>
      </c>
      <c r="CJ1" s="101"/>
      <c r="CK1" s="101"/>
      <c r="CL1" s="101"/>
      <c r="CM1" s="101"/>
      <c r="CN1" s="101"/>
      <c r="CO1" s="101" t="s">
        <v>10</v>
      </c>
      <c r="CP1" s="101"/>
      <c r="CQ1" s="101"/>
      <c r="CR1" s="101"/>
      <c r="CS1" s="34"/>
      <c r="CT1" s="34"/>
      <c r="CU1" s="101" t="s">
        <v>10</v>
      </c>
      <c r="CV1" s="101"/>
      <c r="CW1" s="101"/>
      <c r="CX1" s="101"/>
      <c r="CY1" s="34"/>
      <c r="CZ1" s="34"/>
    </row>
    <row r="2" spans="1:104" ht="12.75">
      <c r="A2" s="8"/>
      <c r="B2" s="8"/>
      <c r="C2" s="8"/>
      <c r="D2" s="9"/>
      <c r="E2" s="8"/>
      <c r="F2" s="10"/>
      <c r="G2" s="8"/>
      <c r="H2" s="8"/>
      <c r="I2" s="8"/>
      <c r="J2" s="8"/>
      <c r="K2" s="8"/>
      <c r="L2" s="9"/>
      <c r="M2" s="8"/>
      <c r="N2" s="10"/>
      <c r="O2" s="8"/>
      <c r="P2" s="8"/>
      <c r="Q2" s="8"/>
      <c r="R2" s="8"/>
      <c r="S2" s="9"/>
      <c r="T2" s="8"/>
      <c r="U2" s="10"/>
      <c r="V2" s="8"/>
      <c r="W2" s="8"/>
      <c r="X2" s="8"/>
      <c r="Y2" s="8"/>
      <c r="Z2" s="9"/>
      <c r="AA2" s="8"/>
      <c r="AB2" s="10"/>
      <c r="AC2" s="8"/>
      <c r="AD2" s="34"/>
      <c r="AE2" s="8"/>
      <c r="AF2" s="8"/>
      <c r="AG2" s="8"/>
      <c r="AH2" s="9"/>
      <c r="AI2" s="8"/>
      <c r="AJ2" s="10"/>
      <c r="AK2" s="8"/>
      <c r="AL2" s="8"/>
      <c r="AM2" s="8"/>
      <c r="AN2" s="8"/>
      <c r="AO2" s="9"/>
      <c r="AP2" s="8"/>
      <c r="AQ2" s="10"/>
      <c r="AR2" s="8"/>
      <c r="AS2" s="8"/>
      <c r="AT2" s="8"/>
      <c r="AU2" s="8"/>
      <c r="AV2" s="9"/>
      <c r="AW2" s="8"/>
      <c r="AX2" s="10"/>
      <c r="AY2" s="8"/>
      <c r="AZ2" s="8"/>
      <c r="BA2" s="8"/>
      <c r="BB2" s="8"/>
      <c r="BC2" s="9"/>
      <c r="BD2" s="8"/>
      <c r="BE2" s="10"/>
      <c r="BF2" s="8"/>
      <c r="BG2" s="8"/>
      <c r="BH2" s="8"/>
      <c r="BI2" s="8"/>
      <c r="BJ2" s="9"/>
      <c r="BK2" s="8"/>
      <c r="BL2" s="10"/>
      <c r="BM2" s="8"/>
      <c r="BN2" s="8"/>
      <c r="BO2" s="8"/>
      <c r="BP2" s="8"/>
      <c r="BQ2" s="9"/>
      <c r="BR2" s="8"/>
      <c r="BS2" s="10"/>
      <c r="BT2" s="8"/>
      <c r="BU2" s="8"/>
      <c r="BV2" s="8"/>
      <c r="BW2" s="8"/>
      <c r="BX2" s="9"/>
      <c r="BY2" s="8"/>
      <c r="BZ2" s="10"/>
      <c r="CA2" s="8"/>
      <c r="CB2" s="8"/>
      <c r="CC2" s="8"/>
      <c r="CD2" s="8"/>
      <c r="CE2" s="9"/>
      <c r="CF2" s="8"/>
      <c r="CG2" s="10"/>
      <c r="CH2" s="8"/>
      <c r="CI2" s="8"/>
      <c r="CJ2" s="8"/>
      <c r="CK2" s="8"/>
      <c r="CL2" s="9"/>
      <c r="CM2" s="8"/>
      <c r="CN2" s="10"/>
      <c r="CO2" s="8"/>
      <c r="CP2" s="8"/>
      <c r="CQ2" s="8"/>
      <c r="CR2" s="9"/>
      <c r="CS2" s="34"/>
      <c r="CT2" s="34"/>
      <c r="CU2" s="8"/>
      <c r="CV2" s="8"/>
      <c r="CW2" s="8"/>
      <c r="CX2" s="9"/>
      <c r="CY2" s="34"/>
      <c r="CZ2" s="34"/>
    </row>
    <row r="3" spans="1:104" ht="18">
      <c r="A3" s="102" t="s">
        <v>98</v>
      </c>
      <c r="B3" s="102"/>
      <c r="C3" s="102"/>
      <c r="D3" s="102"/>
      <c r="E3" s="102"/>
      <c r="F3" s="102"/>
      <c r="G3" s="102"/>
      <c r="H3" s="11"/>
      <c r="I3" s="102" t="s">
        <v>142</v>
      </c>
      <c r="J3" s="102"/>
      <c r="K3" s="102"/>
      <c r="L3" s="102"/>
      <c r="M3" s="102"/>
      <c r="N3" s="102"/>
      <c r="O3" s="102"/>
      <c r="P3" s="102" t="s">
        <v>145</v>
      </c>
      <c r="Q3" s="102"/>
      <c r="R3" s="102"/>
      <c r="S3" s="102"/>
      <c r="T3" s="102"/>
      <c r="U3" s="102"/>
      <c r="V3" s="102"/>
      <c r="W3" s="102" t="s">
        <v>146</v>
      </c>
      <c r="X3" s="102"/>
      <c r="Y3" s="102"/>
      <c r="Z3" s="102"/>
      <c r="AA3" s="102"/>
      <c r="AB3" s="102"/>
      <c r="AC3" s="102"/>
      <c r="AD3" s="34"/>
      <c r="AE3" s="102" t="s">
        <v>148</v>
      </c>
      <c r="AF3" s="102"/>
      <c r="AG3" s="102"/>
      <c r="AH3" s="102"/>
      <c r="AI3" s="102"/>
      <c r="AJ3" s="102"/>
      <c r="AK3" s="102"/>
      <c r="AL3" s="102" t="s">
        <v>150</v>
      </c>
      <c r="AM3" s="102"/>
      <c r="AN3" s="102"/>
      <c r="AO3" s="102"/>
      <c r="AP3" s="102"/>
      <c r="AQ3" s="102"/>
      <c r="AR3" s="11"/>
      <c r="AS3" s="102" t="s">
        <v>155</v>
      </c>
      <c r="AT3" s="102"/>
      <c r="AU3" s="102"/>
      <c r="AV3" s="102"/>
      <c r="AW3" s="102"/>
      <c r="AX3" s="102"/>
      <c r="AY3" s="11"/>
      <c r="AZ3" s="102" t="s">
        <v>158</v>
      </c>
      <c r="BA3" s="102"/>
      <c r="BB3" s="102"/>
      <c r="BC3" s="102"/>
      <c r="BD3" s="102"/>
      <c r="BE3" s="102"/>
      <c r="BF3" s="11"/>
      <c r="BG3" s="102" t="s">
        <v>161</v>
      </c>
      <c r="BH3" s="102"/>
      <c r="BI3" s="102"/>
      <c r="BJ3" s="102"/>
      <c r="BK3" s="102"/>
      <c r="BL3" s="102"/>
      <c r="BM3" s="11"/>
      <c r="BN3" s="102" t="s">
        <v>162</v>
      </c>
      <c r="BO3" s="102"/>
      <c r="BP3" s="102"/>
      <c r="BQ3" s="102"/>
      <c r="BR3" s="102"/>
      <c r="BS3" s="102"/>
      <c r="BT3" s="11"/>
      <c r="BU3" s="102" t="s">
        <v>166</v>
      </c>
      <c r="BV3" s="102"/>
      <c r="BW3" s="102"/>
      <c r="BX3" s="102"/>
      <c r="BY3" s="102"/>
      <c r="BZ3" s="102"/>
      <c r="CA3" s="11"/>
      <c r="CB3" s="102" t="s">
        <v>171</v>
      </c>
      <c r="CC3" s="102"/>
      <c r="CD3" s="102"/>
      <c r="CE3" s="102"/>
      <c r="CF3" s="102"/>
      <c r="CG3" s="102"/>
      <c r="CH3" s="11"/>
      <c r="CI3" s="102" t="s">
        <v>174</v>
      </c>
      <c r="CJ3" s="102"/>
      <c r="CK3" s="102"/>
      <c r="CL3" s="102"/>
      <c r="CM3" s="102"/>
      <c r="CN3" s="102"/>
      <c r="CO3" s="102" t="s">
        <v>177</v>
      </c>
      <c r="CP3" s="102"/>
      <c r="CQ3" s="102"/>
      <c r="CR3" s="102"/>
      <c r="CS3" s="34"/>
      <c r="CT3" s="34"/>
      <c r="CU3" s="102" t="s">
        <v>184</v>
      </c>
      <c r="CV3" s="102"/>
      <c r="CW3" s="102"/>
      <c r="CX3" s="102"/>
      <c r="CY3" s="34"/>
      <c r="CZ3" s="34"/>
    </row>
    <row r="4" spans="1:104" ht="18">
      <c r="A4" s="8"/>
      <c r="B4" s="8"/>
      <c r="C4" s="8"/>
      <c r="D4" s="9"/>
      <c r="E4" s="8"/>
      <c r="F4" s="10"/>
      <c r="G4" s="8"/>
      <c r="H4" s="8"/>
      <c r="I4" s="8"/>
      <c r="J4" s="58" t="s">
        <v>143</v>
      </c>
      <c r="K4" s="8"/>
      <c r="L4" s="9"/>
      <c r="M4" s="8"/>
      <c r="N4" s="10"/>
      <c r="O4" s="8"/>
      <c r="P4" s="8"/>
      <c r="Q4" s="58" t="s">
        <v>144</v>
      </c>
      <c r="R4" s="8"/>
      <c r="S4" s="9"/>
      <c r="T4" s="8"/>
      <c r="U4" s="10"/>
      <c r="V4" s="8"/>
      <c r="W4" s="8"/>
      <c r="X4" s="58" t="s">
        <v>147</v>
      </c>
      <c r="Y4" s="8"/>
      <c r="Z4" s="9"/>
      <c r="AA4" s="8"/>
      <c r="AB4" s="10"/>
      <c r="AC4" s="8"/>
      <c r="AD4" s="34"/>
      <c r="AE4" s="8"/>
      <c r="AF4" s="58" t="s">
        <v>149</v>
      </c>
      <c r="AG4" s="8"/>
      <c r="AH4" s="9"/>
      <c r="AI4" s="8"/>
      <c r="AJ4" s="10"/>
      <c r="AK4" s="8"/>
      <c r="AL4" s="8"/>
      <c r="AM4" s="58" t="s">
        <v>151</v>
      </c>
      <c r="AN4" s="8"/>
      <c r="AO4" s="9"/>
      <c r="AP4" s="8"/>
      <c r="AQ4" s="10"/>
      <c r="AR4" s="8"/>
      <c r="AS4" s="8"/>
      <c r="AT4" s="58" t="s">
        <v>154</v>
      </c>
      <c r="AU4" s="8"/>
      <c r="AV4" s="9"/>
      <c r="AW4" s="8"/>
      <c r="AX4" s="10"/>
      <c r="AY4" s="8"/>
      <c r="AZ4" s="8"/>
      <c r="BA4" s="58" t="s">
        <v>157</v>
      </c>
      <c r="BB4" s="8"/>
      <c r="BC4" s="9"/>
      <c r="BD4" s="8"/>
      <c r="BE4" s="10"/>
      <c r="BF4" s="8"/>
      <c r="BG4" s="8"/>
      <c r="BH4" s="58" t="s">
        <v>160</v>
      </c>
      <c r="BI4" s="8"/>
      <c r="BJ4" s="9"/>
      <c r="BK4" s="8"/>
      <c r="BL4" s="10"/>
      <c r="BM4" s="8"/>
      <c r="BN4" s="8"/>
      <c r="BO4" s="58" t="s">
        <v>163</v>
      </c>
      <c r="BP4" s="8"/>
      <c r="BQ4" s="9"/>
      <c r="BR4" s="8"/>
      <c r="BS4" s="10"/>
      <c r="BT4" s="8"/>
      <c r="BU4" s="8"/>
      <c r="BV4" s="58" t="s">
        <v>167</v>
      </c>
      <c r="BW4" s="8"/>
      <c r="BX4" s="9"/>
      <c r="BY4" s="8"/>
      <c r="BZ4" s="10"/>
      <c r="CA4" s="8"/>
      <c r="CB4" s="8"/>
      <c r="CC4" s="58" t="s">
        <v>170</v>
      </c>
      <c r="CD4" s="8"/>
      <c r="CE4" s="9"/>
      <c r="CF4" s="8"/>
      <c r="CG4" s="10"/>
      <c r="CH4" s="8"/>
      <c r="CI4" s="8"/>
      <c r="CJ4" s="58" t="s">
        <v>173</v>
      </c>
      <c r="CK4" s="8"/>
      <c r="CL4" s="9"/>
      <c r="CM4" s="8"/>
      <c r="CN4" s="10"/>
      <c r="CO4" s="8"/>
      <c r="CP4" s="58" t="s">
        <v>176</v>
      </c>
      <c r="CQ4" s="8"/>
      <c r="CR4" s="9"/>
      <c r="CS4" s="34"/>
      <c r="CT4" s="34"/>
      <c r="CU4" s="8"/>
      <c r="CV4" s="58" t="s">
        <v>183</v>
      </c>
      <c r="CW4" s="8"/>
      <c r="CX4" s="9"/>
      <c r="CY4" s="34"/>
      <c r="CZ4" s="34"/>
    </row>
    <row r="5" spans="1:104" ht="12.75">
      <c r="A5" s="12"/>
      <c r="B5" s="8"/>
      <c r="C5" s="8"/>
      <c r="D5" s="9"/>
      <c r="E5" s="8"/>
      <c r="F5" s="10"/>
      <c r="G5" s="8"/>
      <c r="H5" s="8"/>
      <c r="I5" s="12"/>
      <c r="J5" s="8"/>
      <c r="K5" s="8"/>
      <c r="L5" s="9"/>
      <c r="M5" s="8"/>
      <c r="N5" s="10"/>
      <c r="O5" s="8"/>
      <c r="P5" s="12"/>
      <c r="Q5" s="8"/>
      <c r="R5" s="8"/>
      <c r="S5" s="9"/>
      <c r="T5" s="8"/>
      <c r="U5" s="10"/>
      <c r="V5" s="8"/>
      <c r="W5" s="12"/>
      <c r="X5" s="8"/>
      <c r="Y5" s="8"/>
      <c r="Z5" s="9"/>
      <c r="AA5" s="8"/>
      <c r="AB5" s="10"/>
      <c r="AC5" s="8"/>
      <c r="AD5" s="34"/>
      <c r="AE5" s="12"/>
      <c r="AF5" s="8"/>
      <c r="AG5" s="8"/>
      <c r="AH5" s="9"/>
      <c r="AI5" s="8"/>
      <c r="AJ5" s="10"/>
      <c r="AK5" s="8"/>
      <c r="AL5" s="12"/>
      <c r="AM5" s="8"/>
      <c r="AN5" s="8"/>
      <c r="AO5" s="9"/>
      <c r="AP5" s="8"/>
      <c r="AQ5" s="10"/>
      <c r="AR5" s="8"/>
      <c r="AS5" s="12"/>
      <c r="AT5" s="8"/>
      <c r="AU5" s="8"/>
      <c r="AV5" s="9"/>
      <c r="AW5" s="8"/>
      <c r="AX5" s="10"/>
      <c r="AY5" s="8"/>
      <c r="AZ5" s="12"/>
      <c r="BA5" s="8"/>
      <c r="BB5" s="8"/>
      <c r="BC5" s="9"/>
      <c r="BD5" s="8"/>
      <c r="BE5" s="10"/>
      <c r="BF5" s="8"/>
      <c r="BG5" s="12"/>
      <c r="BH5" s="8"/>
      <c r="BI5" s="8"/>
      <c r="BJ5" s="9"/>
      <c r="BK5" s="8"/>
      <c r="BL5" s="10"/>
      <c r="BM5" s="8"/>
      <c r="BN5" s="12"/>
      <c r="BO5" s="8"/>
      <c r="BP5" s="8"/>
      <c r="BQ5" s="9"/>
      <c r="BR5" s="8"/>
      <c r="BS5" s="10"/>
      <c r="BT5" s="8"/>
      <c r="BU5" s="12"/>
      <c r="BV5" s="8"/>
      <c r="BW5" s="8"/>
      <c r="BX5" s="9"/>
      <c r="BY5" s="8"/>
      <c r="BZ5" s="10"/>
      <c r="CA5" s="8"/>
      <c r="CB5" s="12"/>
      <c r="CC5" s="8"/>
      <c r="CD5" s="8"/>
      <c r="CE5" s="9"/>
      <c r="CF5" s="8"/>
      <c r="CG5" s="10"/>
      <c r="CH5" s="8"/>
      <c r="CI5" s="12"/>
      <c r="CJ5" s="8"/>
      <c r="CK5" s="8"/>
      <c r="CL5" s="9"/>
      <c r="CM5" s="8"/>
      <c r="CN5" s="10"/>
      <c r="CO5" s="12"/>
      <c r="CP5" s="8"/>
      <c r="CQ5" s="8"/>
      <c r="CR5" s="9"/>
      <c r="CS5" s="34"/>
      <c r="CT5" s="34"/>
      <c r="CU5" s="12"/>
      <c r="CV5" s="8"/>
      <c r="CW5" s="8"/>
      <c r="CX5" s="9"/>
      <c r="CY5" s="34"/>
      <c r="CZ5" s="34"/>
    </row>
    <row r="6" spans="1:104" ht="12.75">
      <c r="A6" s="13" t="s">
        <v>12</v>
      </c>
      <c r="B6" s="8"/>
      <c r="C6" s="8"/>
      <c r="D6" s="9"/>
      <c r="E6" s="8"/>
      <c r="F6" s="10"/>
      <c r="G6" s="8"/>
      <c r="H6" s="8"/>
      <c r="I6" s="13" t="s">
        <v>12</v>
      </c>
      <c r="J6" s="8"/>
      <c r="K6" s="8"/>
      <c r="L6" s="9"/>
      <c r="M6" s="8"/>
      <c r="N6" s="10"/>
      <c r="O6" s="8"/>
      <c r="P6" s="13" t="s">
        <v>12</v>
      </c>
      <c r="Q6" s="8"/>
      <c r="R6" s="8"/>
      <c r="S6" s="9"/>
      <c r="T6" s="8"/>
      <c r="U6" s="10"/>
      <c r="V6" s="8"/>
      <c r="W6" s="13" t="s">
        <v>12</v>
      </c>
      <c r="X6" s="8"/>
      <c r="Y6" s="8"/>
      <c r="Z6" s="9"/>
      <c r="AA6" s="8"/>
      <c r="AB6" s="10"/>
      <c r="AC6" s="8"/>
      <c r="AD6" s="34"/>
      <c r="AE6" s="13" t="s">
        <v>12</v>
      </c>
      <c r="AF6" s="8"/>
      <c r="AG6" s="8"/>
      <c r="AH6" s="9"/>
      <c r="AI6" s="8"/>
      <c r="AJ6" s="10"/>
      <c r="AK6" s="8"/>
      <c r="AL6" s="13" t="s">
        <v>12</v>
      </c>
      <c r="AM6" s="8"/>
      <c r="AN6" s="8"/>
      <c r="AO6" s="9"/>
      <c r="AP6" s="8"/>
      <c r="AQ6" s="10"/>
      <c r="AR6" s="8"/>
      <c r="AS6" s="13" t="s">
        <v>12</v>
      </c>
      <c r="AT6" s="8"/>
      <c r="AU6" s="8"/>
      <c r="AV6" s="9"/>
      <c r="AW6" s="8"/>
      <c r="AX6" s="10"/>
      <c r="AY6" s="8"/>
      <c r="AZ6" s="13" t="s">
        <v>12</v>
      </c>
      <c r="BA6" s="8"/>
      <c r="BB6" s="8"/>
      <c r="BC6" s="9"/>
      <c r="BD6" s="8"/>
      <c r="BE6" s="10"/>
      <c r="BF6" s="8"/>
      <c r="BG6" s="13" t="s">
        <v>12</v>
      </c>
      <c r="BH6" s="8"/>
      <c r="BI6" s="8"/>
      <c r="BJ6" s="9"/>
      <c r="BK6" s="8"/>
      <c r="BL6" s="10"/>
      <c r="BM6" s="8"/>
      <c r="BN6" s="13" t="s">
        <v>12</v>
      </c>
      <c r="BO6" s="8"/>
      <c r="BP6" s="8"/>
      <c r="BQ6" s="9"/>
      <c r="BR6" s="8"/>
      <c r="BS6" s="10"/>
      <c r="BT6" s="8"/>
      <c r="BU6" s="13" t="s">
        <v>12</v>
      </c>
      <c r="BV6" s="8"/>
      <c r="BW6" s="8"/>
      <c r="BX6" s="9"/>
      <c r="BY6" s="8"/>
      <c r="BZ6" s="10"/>
      <c r="CA6" s="8"/>
      <c r="CB6" s="13" t="s">
        <v>12</v>
      </c>
      <c r="CC6" s="8"/>
      <c r="CD6" s="8"/>
      <c r="CE6" s="9"/>
      <c r="CF6" s="8"/>
      <c r="CG6" s="10"/>
      <c r="CH6" s="8"/>
      <c r="CI6" s="13" t="s">
        <v>12</v>
      </c>
      <c r="CJ6" s="8"/>
      <c r="CK6" s="8"/>
      <c r="CL6" s="9"/>
      <c r="CM6" s="8"/>
      <c r="CN6" s="10"/>
      <c r="CO6" s="13" t="s">
        <v>12</v>
      </c>
      <c r="CP6" s="8"/>
      <c r="CQ6" s="8"/>
      <c r="CR6" s="9"/>
      <c r="CS6" s="34"/>
      <c r="CT6" s="34"/>
      <c r="CU6" s="13" t="s">
        <v>12</v>
      </c>
      <c r="CV6" s="8"/>
      <c r="CW6" s="8"/>
      <c r="CX6" s="9"/>
      <c r="CY6" s="34"/>
      <c r="CZ6" s="34"/>
    </row>
    <row r="7" spans="1:104" ht="12.75">
      <c r="A7" s="8"/>
      <c r="B7" s="8"/>
      <c r="C7" s="8"/>
      <c r="D7" s="9"/>
      <c r="E7" s="8"/>
      <c r="F7" s="10"/>
      <c r="G7" s="8"/>
      <c r="H7" s="8"/>
      <c r="I7" s="8"/>
      <c r="J7" s="8"/>
      <c r="K7" s="8"/>
      <c r="L7" s="9"/>
      <c r="M7" s="8"/>
      <c r="N7" s="10"/>
      <c r="O7" s="8"/>
      <c r="P7" s="8"/>
      <c r="Q7" s="8"/>
      <c r="R7" s="8"/>
      <c r="S7" s="9"/>
      <c r="T7" s="8"/>
      <c r="U7" s="10"/>
      <c r="V7" s="8"/>
      <c r="W7" s="8"/>
      <c r="X7" s="8"/>
      <c r="Y7" s="8"/>
      <c r="Z7" s="9"/>
      <c r="AA7" s="8"/>
      <c r="AB7" s="10"/>
      <c r="AC7" s="8"/>
      <c r="AD7" s="34"/>
      <c r="AE7" s="8"/>
      <c r="AF7" s="8"/>
      <c r="AG7" s="8"/>
      <c r="AH7" s="9"/>
      <c r="AI7" s="8"/>
      <c r="AJ7" s="10"/>
      <c r="AK7" s="8"/>
      <c r="AL7" s="8"/>
      <c r="AM7" s="8"/>
      <c r="AN7" s="8"/>
      <c r="AO7" s="9"/>
      <c r="AP7" s="8"/>
      <c r="AQ7" s="10"/>
      <c r="AR7" s="8"/>
      <c r="AS7" s="8"/>
      <c r="AT7" s="8"/>
      <c r="AU7" s="8"/>
      <c r="AV7" s="9"/>
      <c r="AW7" s="8"/>
      <c r="AX7" s="10"/>
      <c r="AY7" s="8"/>
      <c r="AZ7" s="8"/>
      <c r="BA7" s="8"/>
      <c r="BB7" s="8"/>
      <c r="BC7" s="9"/>
      <c r="BD7" s="8"/>
      <c r="BE7" s="10"/>
      <c r="BF7" s="8"/>
      <c r="BG7" s="8"/>
      <c r="BH7" s="8"/>
      <c r="BI7" s="8"/>
      <c r="BJ7" s="9"/>
      <c r="BK7" s="8"/>
      <c r="BL7" s="10"/>
      <c r="BM7" s="8"/>
      <c r="BN7" s="8"/>
      <c r="BO7" s="8"/>
      <c r="BP7" s="8"/>
      <c r="BQ7" s="9"/>
      <c r="BR7" s="8"/>
      <c r="BS7" s="10"/>
      <c r="BT7" s="8"/>
      <c r="BU7" s="8"/>
      <c r="BV7" s="8"/>
      <c r="BW7" s="8"/>
      <c r="BX7" s="9"/>
      <c r="BY7" s="8"/>
      <c r="BZ7" s="10"/>
      <c r="CA7" s="8"/>
      <c r="CB7" s="8"/>
      <c r="CC7" s="8"/>
      <c r="CD7" s="8"/>
      <c r="CE7" s="9"/>
      <c r="CF7" s="8"/>
      <c r="CG7" s="10"/>
      <c r="CH7" s="8"/>
      <c r="CI7" s="8"/>
      <c r="CJ7" s="8"/>
      <c r="CK7" s="8"/>
      <c r="CL7" s="9"/>
      <c r="CM7" s="8"/>
      <c r="CN7" s="10"/>
      <c r="CO7" s="8"/>
      <c r="CP7" s="8"/>
      <c r="CQ7" s="8"/>
      <c r="CR7" s="9"/>
      <c r="CS7" s="34"/>
      <c r="CT7" s="34"/>
      <c r="CU7" s="8"/>
      <c r="CV7" s="8"/>
      <c r="CW7" s="8"/>
      <c r="CX7" s="9"/>
      <c r="CY7" s="34"/>
      <c r="CZ7" s="34"/>
    </row>
    <row r="8" spans="1:104" ht="12.75">
      <c r="A8" s="8" t="s">
        <v>64</v>
      </c>
      <c r="B8" s="8"/>
      <c r="C8" s="8"/>
      <c r="D8" s="14">
        <v>0.8608</v>
      </c>
      <c r="E8" s="10"/>
      <c r="F8" s="10"/>
      <c r="G8" s="8"/>
      <c r="H8" s="8"/>
      <c r="I8" s="8" t="s">
        <v>64</v>
      </c>
      <c r="J8" s="8"/>
      <c r="K8" s="8"/>
      <c r="L8" s="14">
        <v>0.8591541515722537</v>
      </c>
      <c r="M8" s="10"/>
      <c r="N8" s="10"/>
      <c r="O8" s="8"/>
      <c r="P8" s="8" t="s">
        <v>64</v>
      </c>
      <c r="Q8" s="8"/>
      <c r="R8" s="8"/>
      <c r="S8" s="14">
        <v>0.8663839152961101</v>
      </c>
      <c r="T8" s="10"/>
      <c r="U8" s="10"/>
      <c r="V8" s="8"/>
      <c r="W8" s="8" t="s">
        <v>64</v>
      </c>
      <c r="X8" s="8"/>
      <c r="Y8" s="8"/>
      <c r="Z8" s="14">
        <v>0.870373737349869</v>
      </c>
      <c r="AA8" s="10"/>
      <c r="AB8" s="10"/>
      <c r="AC8" s="8"/>
      <c r="AD8" s="34"/>
      <c r="AE8" s="8" t="s">
        <v>64</v>
      </c>
      <c r="AF8" s="8"/>
      <c r="AG8" s="8"/>
      <c r="AH8" s="14">
        <f>+'SECURED LOANS'!AD8</f>
        <v>0.8746774727937534</v>
      </c>
      <c r="AI8" s="10"/>
      <c r="AJ8" s="10"/>
      <c r="AK8" s="8"/>
      <c r="AL8" s="8" t="s">
        <v>64</v>
      </c>
      <c r="AM8" s="8"/>
      <c r="AN8" s="8"/>
      <c r="AO8" s="14">
        <f>+'SECURED LOANS'!AI8</f>
        <v>0.8757732898413815</v>
      </c>
      <c r="AP8" s="10"/>
      <c r="AQ8" s="10"/>
      <c r="AR8" s="8"/>
      <c r="AS8" s="8" t="s">
        <v>64</v>
      </c>
      <c r="AT8" s="8"/>
      <c r="AU8" s="8"/>
      <c r="AV8" s="14">
        <f>+'SECURED LOANS'!AN8</f>
        <v>0.8694616677996869</v>
      </c>
      <c r="AW8" s="10"/>
      <c r="AX8" s="10"/>
      <c r="AY8" s="8"/>
      <c r="AZ8" s="8" t="s">
        <v>64</v>
      </c>
      <c r="BA8" s="8"/>
      <c r="BB8" s="8"/>
      <c r="BC8" s="14">
        <f>+'SECURED LOANS'!AS8</f>
        <v>0.9143855245290076</v>
      </c>
      <c r="BD8" s="10"/>
      <c r="BE8" s="10"/>
      <c r="BF8" s="8"/>
      <c r="BG8" s="8" t="s">
        <v>64</v>
      </c>
      <c r="BH8" s="8"/>
      <c r="BI8" s="8"/>
      <c r="BJ8" s="14">
        <f>+'SECURED LOANS'!AX8</f>
        <v>0.9150398551263297</v>
      </c>
      <c r="BK8" s="10"/>
      <c r="BL8" s="10"/>
      <c r="BM8" s="8"/>
      <c r="BN8" s="8" t="s">
        <v>64</v>
      </c>
      <c r="BO8" s="8"/>
      <c r="BP8" s="8"/>
      <c r="BQ8" s="14">
        <f>+'SECURED LOANS'!BC8</f>
        <v>0.9124665611760254</v>
      </c>
      <c r="BR8" s="10"/>
      <c r="BS8" s="10"/>
      <c r="BT8" s="8"/>
      <c r="BU8" s="8" t="s">
        <v>64</v>
      </c>
      <c r="BV8" s="8"/>
      <c r="BW8" s="8"/>
      <c r="BX8" s="14">
        <f>+'SECURED LOANS'!BH8</f>
        <v>0.9007350757220236</v>
      </c>
      <c r="BY8" s="10"/>
      <c r="BZ8" s="10"/>
      <c r="CA8" s="8"/>
      <c r="CB8" s="8" t="s">
        <v>64</v>
      </c>
      <c r="CC8" s="8"/>
      <c r="CD8" s="8"/>
      <c r="CE8" s="14">
        <f>+'SECURED LOANS'!BM8</f>
        <v>0.8912431376365056</v>
      </c>
      <c r="CF8" s="10"/>
      <c r="CG8" s="10"/>
      <c r="CH8" s="8"/>
      <c r="CI8" s="8" t="s">
        <v>64</v>
      </c>
      <c r="CJ8" s="8"/>
      <c r="CK8" s="8"/>
      <c r="CL8" s="14">
        <f>+'SECURED LOANS'!BR8</f>
        <v>0.8928197249508245</v>
      </c>
      <c r="CM8" s="10"/>
      <c r="CN8" s="10"/>
      <c r="CO8" s="8" t="s">
        <v>64</v>
      </c>
      <c r="CP8" s="8"/>
      <c r="CQ8" s="8"/>
      <c r="CR8" s="14">
        <f>+'SECURED LOANS'!BW8</f>
        <v>0.8858231679842925</v>
      </c>
      <c r="CS8" s="34"/>
      <c r="CT8" s="34"/>
      <c r="CU8" s="8" t="s">
        <v>64</v>
      </c>
      <c r="CV8" s="8"/>
      <c r="CW8" s="8"/>
      <c r="CX8" s="14">
        <f>+'SECURED LOANS'!CB8</f>
        <v>0.8796662716621233</v>
      </c>
      <c r="CY8" s="34"/>
      <c r="CZ8" s="34"/>
    </row>
    <row r="9" spans="1:104" ht="12.75">
      <c r="A9" s="8" t="s">
        <v>13</v>
      </c>
      <c r="B9" s="8"/>
      <c r="C9" s="8"/>
      <c r="D9" s="15">
        <f>+D33/F33</f>
        <v>2018.4098068733294</v>
      </c>
      <c r="E9" s="10"/>
      <c r="F9" s="10"/>
      <c r="G9" s="8"/>
      <c r="H9" s="8"/>
      <c r="I9" s="8" t="s">
        <v>13</v>
      </c>
      <c r="J9" s="8"/>
      <c r="K9" s="8"/>
      <c r="L9" s="15">
        <v>2145.11</v>
      </c>
      <c r="M9" s="10"/>
      <c r="N9" s="10"/>
      <c r="O9" s="8"/>
      <c r="P9" s="8" t="s">
        <v>13</v>
      </c>
      <c r="Q9" s="8"/>
      <c r="R9" s="8"/>
      <c r="S9" s="15">
        <f>+P33/R33</f>
        <v>2505.4039429640447</v>
      </c>
      <c r="T9" s="10"/>
      <c r="U9" s="10"/>
      <c r="V9" s="8"/>
      <c r="W9" s="8" t="s">
        <v>13</v>
      </c>
      <c r="X9" s="8"/>
      <c r="Y9" s="8"/>
      <c r="Z9" s="15">
        <f>+W33/Y33</f>
        <v>2820.0387578563546</v>
      </c>
      <c r="AA9" s="10"/>
      <c r="AB9" s="10"/>
      <c r="AC9" s="8"/>
      <c r="AD9" s="34"/>
      <c r="AE9" s="8" t="s">
        <v>13</v>
      </c>
      <c r="AF9" s="8"/>
      <c r="AG9" s="8"/>
      <c r="AH9" s="15">
        <f>+AE33/AG33</f>
        <v>3039.521005493787</v>
      </c>
      <c r="AI9" s="10"/>
      <c r="AJ9" s="10"/>
      <c r="AK9" s="8"/>
      <c r="AL9" s="8" t="s">
        <v>13</v>
      </c>
      <c r="AM9" s="8"/>
      <c r="AN9" s="8"/>
      <c r="AO9" s="15">
        <f>+AL33/AN33</f>
        <v>3079.9316205070154</v>
      </c>
      <c r="AP9" s="10"/>
      <c r="AQ9" s="10"/>
      <c r="AR9" s="8"/>
      <c r="AS9" s="8" t="s">
        <v>13</v>
      </c>
      <c r="AT9" s="8"/>
      <c r="AU9" s="8"/>
      <c r="AV9" s="15">
        <f>+AS33/AU33</f>
        <v>3207.76251877511</v>
      </c>
      <c r="AW9" s="10"/>
      <c r="AX9" s="10"/>
      <c r="AY9" s="8"/>
      <c r="AZ9" s="8" t="s">
        <v>13</v>
      </c>
      <c r="BA9" s="8"/>
      <c r="BB9" s="8"/>
      <c r="BC9" s="15">
        <f>+AZ33/AZ33</f>
        <v>1</v>
      </c>
      <c r="BD9" s="10"/>
      <c r="BE9" s="10"/>
      <c r="BF9" s="8"/>
      <c r="BG9" s="8" t="s">
        <v>13</v>
      </c>
      <c r="BH9" s="8"/>
      <c r="BI9" s="8"/>
      <c r="BJ9" s="15">
        <f>+BG33/BI33</f>
        <v>3666.3565460123664</v>
      </c>
      <c r="BK9" s="10"/>
      <c r="BL9" s="10"/>
      <c r="BM9" s="8"/>
      <c r="BN9" s="8" t="s">
        <v>13</v>
      </c>
      <c r="BO9" s="8"/>
      <c r="BP9" s="8"/>
      <c r="BQ9" s="15">
        <f>+BN33/BP33</f>
        <v>3733.5425138002797</v>
      </c>
      <c r="BR9" s="10"/>
      <c r="BS9" s="10"/>
      <c r="BT9" s="8"/>
      <c r="BU9" s="8" t="s">
        <v>13</v>
      </c>
      <c r="BV9" s="8"/>
      <c r="BW9" s="8"/>
      <c r="BX9" s="15">
        <f>+BU33/BW33</f>
        <v>4156.477972133174</v>
      </c>
      <c r="BY9" s="10"/>
      <c r="BZ9" s="10"/>
      <c r="CA9" s="8"/>
      <c r="CB9" s="8" t="s">
        <v>13</v>
      </c>
      <c r="CC9" s="8"/>
      <c r="CD9" s="8"/>
      <c r="CE9" s="15">
        <f>+CB33/CD33</f>
        <v>4244.350025155859</v>
      </c>
      <c r="CF9" s="10"/>
      <c r="CG9" s="10"/>
      <c r="CH9" s="8"/>
      <c r="CI9" s="8" t="s">
        <v>13</v>
      </c>
      <c r="CJ9" s="8"/>
      <c r="CK9" s="8"/>
      <c r="CL9" s="15">
        <f>+CI33/CK33</f>
        <v>4748.089401181071</v>
      </c>
      <c r="CM9" s="10"/>
      <c r="CN9" s="10"/>
      <c r="CO9" s="8" t="s">
        <v>13</v>
      </c>
      <c r="CP9" s="8"/>
      <c r="CQ9" s="8"/>
      <c r="CR9" s="15">
        <f>+CO33/CQ33</f>
        <v>5287.808489952059</v>
      </c>
      <c r="CS9" s="34"/>
      <c r="CT9" s="34"/>
      <c r="CU9" s="8" t="s">
        <v>13</v>
      </c>
      <c r="CV9" s="8"/>
      <c r="CW9" s="8"/>
      <c r="CX9" s="15">
        <f>+CU33/CW33</f>
        <v>5505.36294016703</v>
      </c>
      <c r="CY9" s="34"/>
      <c r="CZ9" s="34"/>
    </row>
    <row r="10" spans="1:106" ht="12.75">
      <c r="A10" s="8" t="s">
        <v>14</v>
      </c>
      <c r="B10" s="8"/>
      <c r="C10" s="8"/>
      <c r="D10" s="16">
        <v>13.98</v>
      </c>
      <c r="E10" s="10" t="s">
        <v>11</v>
      </c>
      <c r="F10" s="10"/>
      <c r="G10" s="8"/>
      <c r="H10" s="8"/>
      <c r="I10" s="8" t="s">
        <v>14</v>
      </c>
      <c r="J10" s="8"/>
      <c r="K10" s="8"/>
      <c r="L10" s="16">
        <v>16.57</v>
      </c>
      <c r="M10" s="10" t="s">
        <v>11</v>
      </c>
      <c r="N10" s="10"/>
      <c r="O10" s="8"/>
      <c r="P10" s="8" t="s">
        <v>14</v>
      </c>
      <c r="Q10" s="8"/>
      <c r="R10" s="8"/>
      <c r="S10" s="16">
        <v>14.12</v>
      </c>
      <c r="T10" s="10" t="s">
        <v>11</v>
      </c>
      <c r="U10" s="10"/>
      <c r="V10" s="8"/>
      <c r="W10" s="8" t="s">
        <v>14</v>
      </c>
      <c r="X10" s="8"/>
      <c r="Y10" s="8"/>
      <c r="Z10" s="16">
        <v>14.66</v>
      </c>
      <c r="AA10" s="10" t="s">
        <v>11</v>
      </c>
      <c r="AB10" s="10"/>
      <c r="AC10" s="8"/>
      <c r="AD10" s="80"/>
      <c r="AE10" s="8" t="s">
        <v>14</v>
      </c>
      <c r="AF10" s="8"/>
      <c r="AG10" s="8"/>
      <c r="AH10" s="16">
        <v>15.55</v>
      </c>
      <c r="AI10" s="10" t="s">
        <v>11</v>
      </c>
      <c r="AJ10" s="10"/>
      <c r="AK10" s="8"/>
      <c r="AL10" s="8" t="s">
        <v>14</v>
      </c>
      <c r="AM10" s="8"/>
      <c r="AN10" s="8"/>
      <c r="AO10" s="16">
        <v>17.06</v>
      </c>
      <c r="AP10" s="10" t="s">
        <v>11</v>
      </c>
      <c r="AQ10" s="10"/>
      <c r="AR10" s="8"/>
      <c r="AS10" s="8" t="s">
        <v>14</v>
      </c>
      <c r="AT10" s="8"/>
      <c r="AU10" s="8"/>
      <c r="AV10" s="16">
        <v>18.02</v>
      </c>
      <c r="AW10" s="10" t="s">
        <v>11</v>
      </c>
      <c r="AX10" s="10"/>
      <c r="AY10" s="8"/>
      <c r="AZ10" s="8" t="s">
        <v>14</v>
      </c>
      <c r="BA10" s="8"/>
      <c r="BB10" s="8"/>
      <c r="BC10" s="16">
        <v>16.47</v>
      </c>
      <c r="BD10" s="10" t="s">
        <v>11</v>
      </c>
      <c r="BE10" s="10"/>
      <c r="BF10" s="8"/>
      <c r="BG10" s="8" t="s">
        <v>14</v>
      </c>
      <c r="BH10" s="8"/>
      <c r="BI10" s="87"/>
      <c r="BJ10" s="16">
        <v>18.8</v>
      </c>
      <c r="BK10" s="10" t="s">
        <v>11</v>
      </c>
      <c r="BL10" s="10"/>
      <c r="BM10" s="8"/>
      <c r="BN10" s="8" t="s">
        <v>14</v>
      </c>
      <c r="BO10" s="8"/>
      <c r="BP10" s="87"/>
      <c r="BQ10" s="16">
        <v>20.83</v>
      </c>
      <c r="BR10" s="10" t="s">
        <v>11</v>
      </c>
      <c r="BS10" s="10"/>
      <c r="BT10" s="8"/>
      <c r="BU10" s="8" t="s">
        <v>14</v>
      </c>
      <c r="BV10" s="8"/>
      <c r="BW10" s="87"/>
      <c r="BX10" s="16">
        <v>20.23</v>
      </c>
      <c r="BY10" s="10" t="s">
        <v>11</v>
      </c>
      <c r="BZ10" s="10"/>
      <c r="CA10" s="8"/>
      <c r="CB10" s="8" t="s">
        <v>14</v>
      </c>
      <c r="CC10" s="8"/>
      <c r="CD10" s="87"/>
      <c r="CE10" s="16">
        <v>20.67</v>
      </c>
      <c r="CF10" s="10" t="s">
        <v>11</v>
      </c>
      <c r="CG10" s="10"/>
      <c r="CH10" s="8"/>
      <c r="CI10" s="8" t="s">
        <v>14</v>
      </c>
      <c r="CJ10" s="8"/>
      <c r="CK10" s="87"/>
      <c r="CL10" s="16">
        <v>21.79</v>
      </c>
      <c r="CM10" s="10" t="s">
        <v>11</v>
      </c>
      <c r="CN10" s="10"/>
      <c r="CO10" s="8" t="s">
        <v>14</v>
      </c>
      <c r="CP10" s="8"/>
      <c r="CQ10" s="87"/>
      <c r="CR10" s="16">
        <v>22.91</v>
      </c>
      <c r="CS10" s="34"/>
      <c r="CT10" s="34"/>
      <c r="CU10" s="8" t="s">
        <v>14</v>
      </c>
      <c r="CV10" s="8"/>
      <c r="CW10" s="87"/>
      <c r="CX10" s="16">
        <v>22.74</v>
      </c>
      <c r="CY10" s="34"/>
      <c r="CZ10" s="34"/>
      <c r="DB10" s="90"/>
    </row>
    <row r="11" spans="1:106" ht="12.75">
      <c r="A11" s="8" t="s">
        <v>15</v>
      </c>
      <c r="B11" s="8"/>
      <c r="C11" s="8"/>
      <c r="D11" s="17">
        <v>0.1226</v>
      </c>
      <c r="E11" s="10"/>
      <c r="F11" s="10"/>
      <c r="G11" s="8"/>
      <c r="H11" s="8"/>
      <c r="I11" s="8" t="s">
        <v>15</v>
      </c>
      <c r="J11" s="8"/>
      <c r="K11" s="8"/>
      <c r="L11" s="17">
        <v>0.1229</v>
      </c>
      <c r="M11" s="10"/>
      <c r="N11" s="10"/>
      <c r="O11" s="8"/>
      <c r="P11" s="8" t="s">
        <v>15</v>
      </c>
      <c r="Q11" s="8"/>
      <c r="R11" s="8"/>
      <c r="S11" s="17">
        <v>0.1264</v>
      </c>
      <c r="T11" s="10"/>
      <c r="U11" s="10"/>
      <c r="V11" s="8"/>
      <c r="W11" s="8" t="s">
        <v>15</v>
      </c>
      <c r="X11" s="8"/>
      <c r="Y11" s="8"/>
      <c r="Z11" s="17">
        <v>0.1252</v>
      </c>
      <c r="AA11" s="10"/>
      <c r="AB11" s="10"/>
      <c r="AC11" s="8"/>
      <c r="AD11" s="80"/>
      <c r="AE11" s="8" t="s">
        <v>15</v>
      </c>
      <c r="AF11" s="8"/>
      <c r="AG11" s="8"/>
      <c r="AH11" s="17">
        <v>0.1242</v>
      </c>
      <c r="AI11" s="10"/>
      <c r="AJ11" s="10"/>
      <c r="AK11" s="8"/>
      <c r="AL11" s="8" t="s">
        <v>15</v>
      </c>
      <c r="AM11" s="8"/>
      <c r="AN11" s="8"/>
      <c r="AO11" s="17">
        <v>0.1243</v>
      </c>
      <c r="AP11" s="10"/>
      <c r="AQ11" s="10"/>
      <c r="AR11" s="8"/>
      <c r="AS11" s="8" t="s">
        <v>15</v>
      </c>
      <c r="AT11" s="8"/>
      <c r="AU11" s="8"/>
      <c r="AV11" s="17">
        <v>0.12388</v>
      </c>
      <c r="AW11" s="10"/>
      <c r="AX11" s="10"/>
      <c r="AY11" s="8"/>
      <c r="AZ11" s="8" t="s">
        <v>15</v>
      </c>
      <c r="BA11" s="8"/>
      <c r="BB11" s="8"/>
      <c r="BC11" s="17">
        <v>0.1196</v>
      </c>
      <c r="BD11" s="10"/>
      <c r="BE11" s="10"/>
      <c r="BF11" s="8"/>
      <c r="BG11" s="8" t="s">
        <v>15</v>
      </c>
      <c r="BH11" s="8"/>
      <c r="BI11" s="8"/>
      <c r="BJ11" s="17">
        <v>0.1191</v>
      </c>
      <c r="BK11" s="10"/>
      <c r="BL11" s="10"/>
      <c r="BM11" s="8"/>
      <c r="BN11" s="8" t="s">
        <v>15</v>
      </c>
      <c r="BO11" s="8"/>
      <c r="BP11" s="8"/>
      <c r="BQ11" s="17">
        <v>0.118</v>
      </c>
      <c r="BR11" s="10"/>
      <c r="BS11" s="10"/>
      <c r="BT11" s="8"/>
      <c r="BU11" s="8" t="s">
        <v>15</v>
      </c>
      <c r="BV11" s="8"/>
      <c r="BW11" s="8"/>
      <c r="BX11" s="17">
        <v>0.1129</v>
      </c>
      <c r="BY11" s="10"/>
      <c r="BZ11" s="10"/>
      <c r="CA11" s="8"/>
      <c r="CB11" s="8" t="s">
        <v>15</v>
      </c>
      <c r="CC11" s="8"/>
      <c r="CD11" s="8"/>
      <c r="CE11" s="17">
        <v>0.1107</v>
      </c>
      <c r="CF11" s="10"/>
      <c r="CG11" s="10"/>
      <c r="CH11" s="8"/>
      <c r="CI11" s="8" t="s">
        <v>15</v>
      </c>
      <c r="CJ11" s="8"/>
      <c r="CK11" s="8"/>
      <c r="CL11" s="17">
        <v>0.11082535867251399</v>
      </c>
      <c r="CM11" s="10"/>
      <c r="CN11" s="10"/>
      <c r="CO11" s="8" t="s">
        <v>15</v>
      </c>
      <c r="CP11" s="8"/>
      <c r="CQ11" s="8"/>
      <c r="CR11" s="17">
        <v>0.11154</v>
      </c>
      <c r="CS11" s="34"/>
      <c r="CT11" s="34"/>
      <c r="CU11" s="8" t="s">
        <v>15</v>
      </c>
      <c r="CV11" s="8"/>
      <c r="CW11" s="8"/>
      <c r="CX11" s="17">
        <v>0.10846</v>
      </c>
      <c r="CY11" s="34"/>
      <c r="CZ11" s="34"/>
      <c r="DB11" s="90"/>
    </row>
    <row r="12" spans="1:106" ht="12.75">
      <c r="A12" s="8" t="s">
        <v>16</v>
      </c>
      <c r="B12" s="8"/>
      <c r="C12" s="8"/>
      <c r="D12" s="18">
        <v>4.077</v>
      </c>
      <c r="E12" s="10" t="s">
        <v>79</v>
      </c>
      <c r="F12" s="10"/>
      <c r="G12" s="8"/>
      <c r="H12" s="8"/>
      <c r="I12" s="8" t="s">
        <v>16</v>
      </c>
      <c r="J12" s="8"/>
      <c r="K12" s="8"/>
      <c r="L12" s="18">
        <v>4.167</v>
      </c>
      <c r="M12" s="10" t="s">
        <v>79</v>
      </c>
      <c r="N12" s="10"/>
      <c r="O12" s="8"/>
      <c r="P12" s="8" t="s">
        <v>16</v>
      </c>
      <c r="Q12" s="8"/>
      <c r="R12" s="8"/>
      <c r="S12" s="18">
        <v>5.227</v>
      </c>
      <c r="T12" s="10" t="s">
        <v>79</v>
      </c>
      <c r="U12" s="10"/>
      <c r="V12" s="8"/>
      <c r="W12" s="8" t="s">
        <v>16</v>
      </c>
      <c r="X12" s="8"/>
      <c r="Y12" s="8"/>
      <c r="Z12" s="18">
        <v>5.221</v>
      </c>
      <c r="AA12" s="10" t="s">
        <v>79</v>
      </c>
      <c r="AB12" s="10"/>
      <c r="AC12" s="8"/>
      <c r="AD12" s="80"/>
      <c r="AE12" s="8" t="s">
        <v>16</v>
      </c>
      <c r="AF12" s="8"/>
      <c r="AG12" s="8"/>
      <c r="AH12" s="18">
        <v>5.653</v>
      </c>
      <c r="AI12" s="10" t="s">
        <v>79</v>
      </c>
      <c r="AJ12" s="10"/>
      <c r="AK12" s="8"/>
      <c r="AL12" s="8" t="s">
        <v>16</v>
      </c>
      <c r="AM12" s="8"/>
      <c r="AN12" s="8"/>
      <c r="AO12" s="18">
        <v>5.574</v>
      </c>
      <c r="AP12" s="10" t="s">
        <v>79</v>
      </c>
      <c r="AQ12" s="10"/>
      <c r="AR12" s="8"/>
      <c r="AS12" s="8" t="s">
        <v>16</v>
      </c>
      <c r="AT12" s="8"/>
      <c r="AU12" s="8"/>
      <c r="AV12" s="18">
        <v>5.233</v>
      </c>
      <c r="AW12" s="10" t="s">
        <v>79</v>
      </c>
      <c r="AX12" s="10"/>
      <c r="AY12" s="8"/>
      <c r="AZ12" s="8" t="s">
        <v>16</v>
      </c>
      <c r="BA12" s="8"/>
      <c r="BB12" s="8"/>
      <c r="BC12" s="18">
        <v>6.296</v>
      </c>
      <c r="BD12" s="10" t="s">
        <v>79</v>
      </c>
      <c r="BE12" s="10"/>
      <c r="BF12" s="8"/>
      <c r="BG12" s="8" t="s">
        <v>16</v>
      </c>
      <c r="BH12" s="8"/>
      <c r="BI12" s="8"/>
      <c r="BJ12" s="18">
        <v>6.236</v>
      </c>
      <c r="BK12" s="10" t="s">
        <v>79</v>
      </c>
      <c r="BL12" s="10"/>
      <c r="BM12" s="8"/>
      <c r="BN12" s="8" t="s">
        <v>16</v>
      </c>
      <c r="BO12" s="8"/>
      <c r="BP12" s="8"/>
      <c r="BQ12" s="18">
        <v>6.382</v>
      </c>
      <c r="BR12" s="10" t="s">
        <v>79</v>
      </c>
      <c r="BS12" s="10"/>
      <c r="BT12" s="8"/>
      <c r="BU12" s="8" t="s">
        <v>16</v>
      </c>
      <c r="BV12" s="8"/>
      <c r="BW12" s="8"/>
      <c r="BX12" s="18">
        <v>7.44</v>
      </c>
      <c r="BY12" s="10" t="s">
        <v>79</v>
      </c>
      <c r="BZ12" s="10"/>
      <c r="CA12" s="8"/>
      <c r="CB12" s="8" t="s">
        <v>16</v>
      </c>
      <c r="CC12" s="8"/>
      <c r="CD12" s="8"/>
      <c r="CE12" s="18">
        <v>7.677</v>
      </c>
      <c r="CF12" s="10" t="s">
        <v>79</v>
      </c>
      <c r="CG12" s="10"/>
      <c r="CH12" s="8"/>
      <c r="CI12" s="8" t="s">
        <v>16</v>
      </c>
      <c r="CJ12" s="8"/>
      <c r="CK12" s="8"/>
      <c r="CL12" s="18">
        <v>8.155945175657806</v>
      </c>
      <c r="CM12" s="10" t="s">
        <v>79</v>
      </c>
      <c r="CN12" s="10"/>
      <c r="CO12" s="8" t="s">
        <v>16</v>
      </c>
      <c r="CP12" s="8"/>
      <c r="CQ12" s="8"/>
      <c r="CR12" s="18">
        <v>8.697</v>
      </c>
      <c r="CS12" s="34"/>
      <c r="CT12" s="34"/>
      <c r="CU12" s="8" t="s">
        <v>16</v>
      </c>
      <c r="CV12" s="8"/>
      <c r="CW12" s="8"/>
      <c r="CX12" s="18">
        <v>8.305</v>
      </c>
      <c r="CY12" s="34"/>
      <c r="CZ12" s="34"/>
      <c r="DB12" s="90"/>
    </row>
    <row r="13" spans="1:106" ht="12.75">
      <c r="A13" s="8"/>
      <c r="B13" s="8"/>
      <c r="C13" s="8"/>
      <c r="D13" s="9"/>
      <c r="E13" s="8"/>
      <c r="F13" s="10"/>
      <c r="G13" s="8"/>
      <c r="H13" s="8"/>
      <c r="I13" s="8"/>
      <c r="J13" s="8"/>
      <c r="K13" s="8"/>
      <c r="L13" s="9"/>
      <c r="M13" s="8"/>
      <c r="N13" s="10"/>
      <c r="O13" s="8"/>
      <c r="P13" s="8"/>
      <c r="Q13" s="8"/>
      <c r="R13" s="8"/>
      <c r="S13" s="9"/>
      <c r="T13" s="8"/>
      <c r="U13" s="10"/>
      <c r="V13" s="8"/>
      <c r="W13" s="8"/>
      <c r="X13" s="8"/>
      <c r="Y13" s="8"/>
      <c r="Z13" s="9"/>
      <c r="AA13" s="8"/>
      <c r="AB13" s="10"/>
      <c r="AC13" s="8"/>
      <c r="AD13" s="80"/>
      <c r="AE13" s="8"/>
      <c r="AF13" s="8"/>
      <c r="AG13" s="8"/>
      <c r="AH13" s="9"/>
      <c r="AI13" s="8"/>
      <c r="AJ13" s="10"/>
      <c r="AK13" s="8"/>
      <c r="AL13" s="8"/>
      <c r="AM13" s="8"/>
      <c r="AN13" s="8"/>
      <c r="AO13" s="9"/>
      <c r="AP13" s="8"/>
      <c r="AQ13" s="10"/>
      <c r="AR13" s="8"/>
      <c r="AS13" s="8"/>
      <c r="AT13" s="8"/>
      <c r="AU13" s="8"/>
      <c r="AV13" s="9"/>
      <c r="AW13" s="8"/>
      <c r="AX13" s="10"/>
      <c r="AY13" s="8"/>
      <c r="AZ13" s="8"/>
      <c r="BA13" s="8"/>
      <c r="BB13" s="8"/>
      <c r="BC13" s="9"/>
      <c r="BD13" s="8"/>
      <c r="BE13" s="10"/>
      <c r="BF13" s="8"/>
      <c r="BG13" s="8"/>
      <c r="BH13" s="8"/>
      <c r="BI13" s="8"/>
      <c r="BJ13" s="9"/>
      <c r="BK13" s="8"/>
      <c r="BL13" s="10"/>
      <c r="BM13" s="8"/>
      <c r="BN13" s="8"/>
      <c r="BO13" s="8"/>
      <c r="BP13" s="8"/>
      <c r="BQ13" s="9"/>
      <c r="BR13" s="8"/>
      <c r="BS13" s="10"/>
      <c r="BT13" s="8"/>
      <c r="BU13" s="8"/>
      <c r="BV13" s="8"/>
      <c r="BW13" s="8"/>
      <c r="BX13" s="9"/>
      <c r="BY13" s="8"/>
      <c r="BZ13" s="10"/>
      <c r="CA13" s="8"/>
      <c r="CB13" s="8"/>
      <c r="CC13" s="8"/>
      <c r="CD13" s="8"/>
      <c r="CE13" s="9"/>
      <c r="CF13" s="8"/>
      <c r="CG13" s="10"/>
      <c r="CH13" s="8"/>
      <c r="CI13" s="8"/>
      <c r="CJ13" s="8"/>
      <c r="CK13" s="8"/>
      <c r="CL13" s="9"/>
      <c r="CM13" s="8"/>
      <c r="CN13" s="10"/>
      <c r="CO13" s="8"/>
      <c r="CP13" s="8"/>
      <c r="CQ13" s="8"/>
      <c r="CR13" s="9"/>
      <c r="CS13" s="34"/>
      <c r="CT13" s="34"/>
      <c r="CU13" s="8"/>
      <c r="CV13" s="8"/>
      <c r="CW13" s="8"/>
      <c r="CX13" s="9"/>
      <c r="CY13" s="34"/>
      <c r="CZ13" s="34"/>
      <c r="DB13" s="90"/>
    </row>
    <row r="14" spans="1:106" ht="12.75">
      <c r="A14" s="8"/>
      <c r="B14" s="8"/>
      <c r="C14" s="8"/>
      <c r="D14" s="9"/>
      <c r="E14" s="8"/>
      <c r="F14" s="10"/>
      <c r="G14" s="8"/>
      <c r="H14" s="8"/>
      <c r="I14" s="8"/>
      <c r="J14" s="8"/>
      <c r="K14" s="8"/>
      <c r="L14" s="9"/>
      <c r="M14" s="8"/>
      <c r="N14" s="10"/>
      <c r="O14" s="8"/>
      <c r="P14" s="8"/>
      <c r="Q14" s="8"/>
      <c r="R14" s="8"/>
      <c r="S14" s="9"/>
      <c r="T14" s="8"/>
      <c r="U14" s="10"/>
      <c r="V14" s="8"/>
      <c r="W14" s="8"/>
      <c r="X14" s="8"/>
      <c r="Y14" s="8"/>
      <c r="Z14" s="9"/>
      <c r="AA14" s="8"/>
      <c r="AB14" s="10"/>
      <c r="AC14" s="8"/>
      <c r="AD14" s="80"/>
      <c r="AE14" s="8"/>
      <c r="AF14" s="8"/>
      <c r="AG14" s="8"/>
      <c r="AH14" s="9"/>
      <c r="AI14" s="8"/>
      <c r="AJ14" s="10"/>
      <c r="AK14" s="8"/>
      <c r="AL14" s="8"/>
      <c r="AM14" s="8"/>
      <c r="AN14" s="8"/>
      <c r="AO14" s="9"/>
      <c r="AP14" s="8"/>
      <c r="AQ14" s="10"/>
      <c r="AR14" s="8"/>
      <c r="AS14" s="8"/>
      <c r="AT14" s="8"/>
      <c r="AU14" s="8"/>
      <c r="AV14" s="9"/>
      <c r="AW14" s="8"/>
      <c r="AX14" s="10"/>
      <c r="AY14" s="8"/>
      <c r="AZ14" s="8"/>
      <c r="BA14" s="8"/>
      <c r="BB14" s="8"/>
      <c r="BC14" s="9"/>
      <c r="BD14" s="8"/>
      <c r="BE14" s="10"/>
      <c r="BF14" s="8"/>
      <c r="BG14" s="8"/>
      <c r="BH14" s="8"/>
      <c r="BI14" s="8"/>
      <c r="BJ14" s="9"/>
      <c r="BK14" s="8"/>
      <c r="BL14" s="10"/>
      <c r="BM14" s="8"/>
      <c r="BN14" s="8"/>
      <c r="BO14" s="8"/>
      <c r="BP14" s="8"/>
      <c r="BQ14" s="9"/>
      <c r="BR14" s="8"/>
      <c r="BS14" s="10"/>
      <c r="BT14" s="8"/>
      <c r="BU14" s="8"/>
      <c r="BV14" s="8"/>
      <c r="BW14" s="8"/>
      <c r="BX14" s="9"/>
      <c r="BY14" s="8"/>
      <c r="BZ14" s="10"/>
      <c r="CA14" s="8"/>
      <c r="CB14" s="8"/>
      <c r="CC14" s="8"/>
      <c r="CD14" s="8"/>
      <c r="CE14" s="9"/>
      <c r="CF14" s="8"/>
      <c r="CG14" s="10"/>
      <c r="CH14" s="8"/>
      <c r="CI14" s="8"/>
      <c r="CJ14" s="8"/>
      <c r="CK14" s="8"/>
      <c r="CL14" s="9"/>
      <c r="CM14" s="8"/>
      <c r="CN14" s="10"/>
      <c r="CO14" s="8"/>
      <c r="CP14" s="8"/>
      <c r="CQ14" s="8"/>
      <c r="CR14" s="9"/>
      <c r="CS14" s="34"/>
      <c r="CT14" s="34"/>
      <c r="CU14" s="8"/>
      <c r="CV14" s="8"/>
      <c r="CW14" s="8"/>
      <c r="CX14" s="9"/>
      <c r="CY14" s="34"/>
      <c r="CZ14" s="34"/>
      <c r="DB14" s="90"/>
    </row>
    <row r="15" spans="1:104" ht="12.75">
      <c r="A15" s="19" t="s">
        <v>141</v>
      </c>
      <c r="B15" s="8"/>
      <c r="C15" s="8"/>
      <c r="D15" s="9"/>
      <c r="E15" s="8"/>
      <c r="F15" s="10"/>
      <c r="G15" s="8"/>
      <c r="H15" s="8"/>
      <c r="I15" s="19" t="s">
        <v>141</v>
      </c>
      <c r="J15" s="8"/>
      <c r="K15" s="8"/>
      <c r="L15" s="9"/>
      <c r="M15" s="8"/>
      <c r="N15" s="10"/>
      <c r="O15" s="8"/>
      <c r="P15" s="19" t="s">
        <v>141</v>
      </c>
      <c r="Q15" s="8"/>
      <c r="R15" s="8"/>
      <c r="S15" s="9"/>
      <c r="T15" s="8"/>
      <c r="U15" s="10"/>
      <c r="V15" s="8"/>
      <c r="W15" s="19" t="s">
        <v>141</v>
      </c>
      <c r="X15" s="8"/>
      <c r="Y15" s="8"/>
      <c r="Z15" s="9"/>
      <c r="AA15" s="8"/>
      <c r="AB15" s="10"/>
      <c r="AC15" s="8"/>
      <c r="AD15" s="34"/>
      <c r="AE15" s="19" t="s">
        <v>141</v>
      </c>
      <c r="AF15" s="8"/>
      <c r="AG15" s="8"/>
      <c r="AH15" s="9"/>
      <c r="AI15" s="8"/>
      <c r="AJ15" s="10"/>
      <c r="AK15" s="8"/>
      <c r="AL15" s="19" t="s">
        <v>141</v>
      </c>
      <c r="AM15" s="8"/>
      <c r="AN15" s="8"/>
      <c r="AO15" s="9"/>
      <c r="AP15" s="8"/>
      <c r="AQ15" s="10"/>
      <c r="AR15" s="8"/>
      <c r="AS15" s="19" t="s">
        <v>141</v>
      </c>
      <c r="AT15" s="8"/>
      <c r="AU15" s="8"/>
      <c r="AV15" s="9"/>
      <c r="AW15" s="8"/>
      <c r="AX15" s="87"/>
      <c r="AY15" s="8"/>
      <c r="AZ15" s="19" t="s">
        <v>141</v>
      </c>
      <c r="BA15" s="8"/>
      <c r="BB15" s="8"/>
      <c r="BC15" s="9"/>
      <c r="BD15" s="8"/>
      <c r="BE15" s="87"/>
      <c r="BF15" s="8"/>
      <c r="BG15" s="19" t="s">
        <v>141</v>
      </c>
      <c r="BH15" s="8"/>
      <c r="BI15" s="8"/>
      <c r="BJ15" s="9"/>
      <c r="BK15" s="8"/>
      <c r="BL15" s="87"/>
      <c r="BM15" s="8"/>
      <c r="BN15" s="19" t="s">
        <v>141</v>
      </c>
      <c r="BO15" s="8"/>
      <c r="BP15" s="8"/>
      <c r="BQ15" s="9"/>
      <c r="BR15" s="8"/>
      <c r="BS15" s="87"/>
      <c r="BT15" s="8"/>
      <c r="BU15" s="19" t="s">
        <v>141</v>
      </c>
      <c r="BV15" s="8"/>
      <c r="BW15" s="8"/>
      <c r="BX15" s="9"/>
      <c r="BY15" s="8"/>
      <c r="BZ15" s="87"/>
      <c r="CA15" s="8"/>
      <c r="CB15" s="19" t="s">
        <v>141</v>
      </c>
      <c r="CC15" s="8"/>
      <c r="CD15" s="8"/>
      <c r="CE15" s="9"/>
      <c r="CF15" s="8"/>
      <c r="CG15" s="87"/>
      <c r="CH15" s="8"/>
      <c r="CI15" s="19" t="s">
        <v>141</v>
      </c>
      <c r="CJ15" s="8"/>
      <c r="CK15" s="8"/>
      <c r="CL15" s="9"/>
      <c r="CM15" s="8"/>
      <c r="CN15" s="87"/>
      <c r="CO15" s="19" t="s">
        <v>141</v>
      </c>
      <c r="CP15" s="8"/>
      <c r="CQ15" s="8"/>
      <c r="CR15" s="9"/>
      <c r="CS15" s="34"/>
      <c r="CT15" s="34"/>
      <c r="CU15" s="19" t="s">
        <v>141</v>
      </c>
      <c r="CV15" s="8"/>
      <c r="CW15" s="8"/>
      <c r="CX15" s="9"/>
      <c r="CY15" s="34"/>
      <c r="CZ15" s="34"/>
    </row>
    <row r="16" spans="1:106" ht="12.75">
      <c r="A16" s="19"/>
      <c r="B16" s="8"/>
      <c r="C16" s="8"/>
      <c r="D16" s="9"/>
      <c r="E16" s="8"/>
      <c r="F16" s="10"/>
      <c r="G16" s="8"/>
      <c r="H16" s="8"/>
      <c r="I16" s="19"/>
      <c r="J16" s="8"/>
      <c r="K16" s="8"/>
      <c r="L16" s="9"/>
      <c r="M16" s="8"/>
      <c r="N16" s="10"/>
      <c r="O16" s="8"/>
      <c r="P16" s="19"/>
      <c r="Q16" s="8"/>
      <c r="R16" s="8"/>
      <c r="S16" s="9"/>
      <c r="T16" s="8"/>
      <c r="U16" s="10"/>
      <c r="V16" s="8"/>
      <c r="W16" s="19"/>
      <c r="X16" s="8"/>
      <c r="Y16" s="8"/>
      <c r="Z16" s="9"/>
      <c r="AA16" s="8"/>
      <c r="AB16" s="10"/>
      <c r="AC16" s="8"/>
      <c r="AD16" s="35"/>
      <c r="AE16" s="19"/>
      <c r="AF16" s="8"/>
      <c r="AG16" s="8"/>
      <c r="AH16" s="9"/>
      <c r="AI16" s="8"/>
      <c r="AJ16" s="10"/>
      <c r="AK16" s="8"/>
      <c r="AL16" s="19"/>
      <c r="AM16" s="8"/>
      <c r="AN16" s="8"/>
      <c r="AO16" s="9"/>
      <c r="AP16" s="8"/>
      <c r="AQ16" s="10"/>
      <c r="AR16" s="8"/>
      <c r="AS16" s="19"/>
      <c r="AT16" s="8"/>
      <c r="AU16" s="8"/>
      <c r="AV16" s="9"/>
      <c r="AW16" s="8"/>
      <c r="AX16" s="10"/>
      <c r="AY16" s="8"/>
      <c r="AZ16" s="19"/>
      <c r="BA16" s="8"/>
      <c r="BB16" s="8"/>
      <c r="BC16" s="9"/>
      <c r="BD16" s="8"/>
      <c r="BE16" s="10"/>
      <c r="BF16" s="8"/>
      <c r="BG16" s="19"/>
      <c r="BH16" s="8"/>
      <c r="BI16" s="8"/>
      <c r="BJ16" s="9"/>
      <c r="BK16" s="8"/>
      <c r="BL16" s="10"/>
      <c r="BM16" s="8"/>
      <c r="BN16" s="19"/>
      <c r="BO16" s="8"/>
      <c r="BP16" s="8"/>
      <c r="BQ16" s="9"/>
      <c r="BR16" s="8"/>
      <c r="BS16" s="10"/>
      <c r="BT16" s="8"/>
      <c r="BU16" s="19"/>
      <c r="BV16" s="8"/>
      <c r="BW16" s="8"/>
      <c r="BX16" s="9"/>
      <c r="BY16" s="8"/>
      <c r="BZ16" s="10"/>
      <c r="CA16" s="8"/>
      <c r="CB16" s="19"/>
      <c r="CC16" s="8"/>
      <c r="CD16" s="8"/>
      <c r="CE16" s="9"/>
      <c r="CF16" s="8"/>
      <c r="CG16" s="10"/>
      <c r="CH16" s="8"/>
      <c r="CI16" s="19"/>
      <c r="CJ16" s="8"/>
      <c r="CK16" s="8"/>
      <c r="CL16" s="9"/>
      <c r="CM16" s="8"/>
      <c r="CN16" s="10"/>
      <c r="CO16" s="19"/>
      <c r="CP16" s="8"/>
      <c r="CQ16" s="8"/>
      <c r="CR16" s="9"/>
      <c r="CS16" s="34"/>
      <c r="CT16" s="34"/>
      <c r="CU16" s="19"/>
      <c r="CV16" s="8"/>
      <c r="CW16" s="8"/>
      <c r="CX16" s="9"/>
      <c r="CY16" s="34"/>
      <c r="CZ16" s="34"/>
      <c r="DB16" s="99"/>
    </row>
    <row r="17" spans="1:104" s="29" customFormat="1" ht="12.75">
      <c r="A17" s="25"/>
      <c r="B17" s="26"/>
      <c r="C17" s="26"/>
      <c r="D17" s="27" t="s">
        <v>99</v>
      </c>
      <c r="E17" s="26" t="s">
        <v>100</v>
      </c>
      <c r="F17" s="28" t="s">
        <v>101</v>
      </c>
      <c r="G17" s="26" t="s">
        <v>100</v>
      </c>
      <c r="H17" s="26"/>
      <c r="I17" s="27" t="s">
        <v>99</v>
      </c>
      <c r="J17" s="26" t="s">
        <v>100</v>
      </c>
      <c r="K17" s="28" t="s">
        <v>101</v>
      </c>
      <c r="L17" s="26" t="s">
        <v>100</v>
      </c>
      <c r="M17" s="12"/>
      <c r="N17" s="52"/>
      <c r="O17" s="12"/>
      <c r="P17" s="27" t="s">
        <v>99</v>
      </c>
      <c r="Q17" s="26" t="s">
        <v>100</v>
      </c>
      <c r="R17" s="28" t="s">
        <v>101</v>
      </c>
      <c r="S17" s="26" t="s">
        <v>100</v>
      </c>
      <c r="T17" s="12"/>
      <c r="U17" s="52"/>
      <c r="V17" s="12"/>
      <c r="W17" s="27" t="s">
        <v>99</v>
      </c>
      <c r="X17" s="26" t="s">
        <v>100</v>
      </c>
      <c r="Y17" s="28" t="s">
        <v>101</v>
      </c>
      <c r="Z17" s="82" t="e">
        <f>+#REF!</f>
        <v>#REF!</v>
      </c>
      <c r="AA17" s="12"/>
      <c r="AB17" s="52"/>
      <c r="AC17" s="12"/>
      <c r="AD17" s="25"/>
      <c r="AE17" s="27" t="s">
        <v>99</v>
      </c>
      <c r="AF17" s="26" t="s">
        <v>100</v>
      </c>
      <c r="AG17" s="28" t="s">
        <v>101</v>
      </c>
      <c r="AH17" s="26" t="s">
        <v>100</v>
      </c>
      <c r="AI17" s="12"/>
      <c r="AJ17" s="52"/>
      <c r="AK17" s="12"/>
      <c r="AL17" s="27" t="s">
        <v>99</v>
      </c>
      <c r="AM17" s="26" t="s">
        <v>100</v>
      </c>
      <c r="AN17" s="28" t="s">
        <v>101</v>
      </c>
      <c r="AO17" s="26" t="s">
        <v>100</v>
      </c>
      <c r="AP17" s="12"/>
      <c r="AQ17" s="52"/>
      <c r="AR17" s="12"/>
      <c r="AS17" s="27" t="s">
        <v>99</v>
      </c>
      <c r="AT17" s="26" t="s">
        <v>100</v>
      </c>
      <c r="AU17" s="28" t="s">
        <v>101</v>
      </c>
      <c r="AV17" s="26" t="s">
        <v>100</v>
      </c>
      <c r="AW17" s="12"/>
      <c r="AX17" s="52"/>
      <c r="AY17" s="12"/>
      <c r="AZ17" s="89" t="s">
        <v>99</v>
      </c>
      <c r="BA17" s="44" t="s">
        <v>100</v>
      </c>
      <c r="BB17" s="88" t="s">
        <v>101</v>
      </c>
      <c r="BC17" s="44" t="s">
        <v>100</v>
      </c>
      <c r="BD17" s="12"/>
      <c r="BE17" s="52"/>
      <c r="BF17" s="12"/>
      <c r="BG17" s="89" t="s">
        <v>99</v>
      </c>
      <c r="BH17" s="44" t="s">
        <v>100</v>
      </c>
      <c r="BI17" s="88" t="s">
        <v>101</v>
      </c>
      <c r="BJ17" s="44" t="s">
        <v>100</v>
      </c>
      <c r="BK17" s="12"/>
      <c r="BL17" s="52"/>
      <c r="BM17" s="12"/>
      <c r="BN17" s="89" t="s">
        <v>99</v>
      </c>
      <c r="BO17" s="44" t="s">
        <v>100</v>
      </c>
      <c r="BP17" s="88" t="s">
        <v>101</v>
      </c>
      <c r="BQ17" s="44" t="s">
        <v>100</v>
      </c>
      <c r="BR17" s="12"/>
      <c r="BS17" s="52"/>
      <c r="BT17" s="12"/>
      <c r="BU17" s="89" t="s">
        <v>99</v>
      </c>
      <c r="BV17" s="44" t="s">
        <v>100</v>
      </c>
      <c r="BW17" s="88" t="s">
        <v>101</v>
      </c>
      <c r="BX17" s="44" t="s">
        <v>100</v>
      </c>
      <c r="BY17" s="12"/>
      <c r="BZ17" s="52"/>
      <c r="CA17" s="12"/>
      <c r="CB17" s="89" t="s">
        <v>99</v>
      </c>
      <c r="CC17" s="44" t="s">
        <v>100</v>
      </c>
      <c r="CD17" s="88" t="s">
        <v>101</v>
      </c>
      <c r="CE17" s="44" t="s">
        <v>100</v>
      </c>
      <c r="CF17" s="12"/>
      <c r="CG17" s="52"/>
      <c r="CH17" s="12"/>
      <c r="CI17" s="89" t="s">
        <v>99</v>
      </c>
      <c r="CJ17" s="44" t="s">
        <v>100</v>
      </c>
      <c r="CK17" s="88" t="s">
        <v>101</v>
      </c>
      <c r="CL17" s="44" t="s">
        <v>100</v>
      </c>
      <c r="CM17" s="12"/>
      <c r="CN17" s="52"/>
      <c r="CO17" s="89" t="s">
        <v>99</v>
      </c>
      <c r="CP17" s="44" t="s">
        <v>100</v>
      </c>
      <c r="CQ17" s="88" t="s">
        <v>101</v>
      </c>
      <c r="CR17" s="44" t="s">
        <v>100</v>
      </c>
      <c r="CS17" s="25"/>
      <c r="CT17" s="25"/>
      <c r="CU17" s="89" t="s">
        <v>99</v>
      </c>
      <c r="CV17" s="44" t="s">
        <v>100</v>
      </c>
      <c r="CW17" s="88" t="s">
        <v>101</v>
      </c>
      <c r="CX17" s="44" t="s">
        <v>100</v>
      </c>
      <c r="CY17" s="25"/>
      <c r="CZ17" s="25"/>
    </row>
    <row r="18" spans="1:104" ht="12.75">
      <c r="A18" s="12"/>
      <c r="B18" s="8"/>
      <c r="C18" s="8"/>
      <c r="D18" s="9"/>
      <c r="E18" s="8"/>
      <c r="F18" s="10"/>
      <c r="G18" s="8"/>
      <c r="H18" s="8"/>
      <c r="I18" s="9"/>
      <c r="J18" s="8"/>
      <c r="K18" s="10"/>
      <c r="L18" s="8"/>
      <c r="M18" s="8"/>
      <c r="N18" s="10"/>
      <c r="O18" s="8"/>
      <c r="P18" s="9"/>
      <c r="Q18" s="8"/>
      <c r="R18" s="10"/>
      <c r="S18" s="8"/>
      <c r="T18" s="8"/>
      <c r="U18" s="10"/>
      <c r="V18" s="8"/>
      <c r="W18" s="9"/>
      <c r="X18" s="8"/>
      <c r="Y18" s="10"/>
      <c r="Z18" s="8"/>
      <c r="AA18" s="8"/>
      <c r="AB18" s="10"/>
      <c r="AC18" s="8"/>
      <c r="AD18" s="34"/>
      <c r="AE18" s="9"/>
      <c r="AF18" s="8"/>
      <c r="AG18" s="10"/>
      <c r="AH18" s="8"/>
      <c r="AI18" s="8"/>
      <c r="AJ18" s="10"/>
      <c r="AK18" s="8"/>
      <c r="AL18" s="9"/>
      <c r="AM18" s="8"/>
      <c r="AN18" s="10"/>
      <c r="AO18" s="8"/>
      <c r="AP18" s="8"/>
      <c r="AQ18" s="10"/>
      <c r="AR18" s="8"/>
      <c r="AS18" s="9"/>
      <c r="AT18" s="8"/>
      <c r="AU18" s="10"/>
      <c r="AV18" s="8"/>
      <c r="AW18" s="8"/>
      <c r="AX18" s="10"/>
      <c r="AY18" s="8"/>
      <c r="AZ18" s="9"/>
      <c r="BA18" s="8"/>
      <c r="BB18" s="10"/>
      <c r="BC18" s="8"/>
      <c r="BD18" s="8"/>
      <c r="BE18" s="10"/>
      <c r="BF18" s="8"/>
      <c r="BG18" s="9"/>
      <c r="BH18" s="8"/>
      <c r="BI18" s="10"/>
      <c r="BJ18" s="8"/>
      <c r="BK18" s="8"/>
      <c r="BL18" s="10"/>
      <c r="BM18" s="8"/>
      <c r="BN18" s="9"/>
      <c r="BO18" s="8"/>
      <c r="BP18" s="10"/>
      <c r="BQ18" s="8"/>
      <c r="BR18" s="8"/>
      <c r="BS18" s="10"/>
      <c r="BT18" s="8"/>
      <c r="BU18" s="9"/>
      <c r="BV18" s="8"/>
      <c r="BW18" s="10"/>
      <c r="BX18" s="8"/>
      <c r="BY18" s="8"/>
      <c r="BZ18" s="10"/>
      <c r="CA18" s="8"/>
      <c r="CB18" s="9"/>
      <c r="CC18" s="8"/>
      <c r="CD18" s="10"/>
      <c r="CE18" s="8"/>
      <c r="CF18" s="8"/>
      <c r="CG18" s="10"/>
      <c r="CH18" s="8"/>
      <c r="CI18" s="9"/>
      <c r="CJ18" s="8"/>
      <c r="CK18" s="10"/>
      <c r="CL18" s="8"/>
      <c r="CM18" s="8"/>
      <c r="CN18" s="10"/>
      <c r="CO18" s="9"/>
      <c r="CP18" s="8"/>
      <c r="CQ18" s="10"/>
      <c r="CR18" s="8"/>
      <c r="CS18" s="34"/>
      <c r="CT18" s="34"/>
      <c r="CU18" s="9"/>
      <c r="CV18" s="8"/>
      <c r="CW18" s="10"/>
      <c r="CX18" s="8"/>
      <c r="CY18" s="34"/>
      <c r="CZ18" s="34"/>
    </row>
    <row r="19" spans="1:104" ht="12.75">
      <c r="A19" s="8" t="s">
        <v>26</v>
      </c>
      <c r="B19" s="8"/>
      <c r="C19" s="8"/>
      <c r="D19" s="9">
        <f>+'SECURED LOANS'!D77+'RETAIL CREDIT'!D20+'UNSECURED LOANS'!D20+'CAR FINANCE'!D21</f>
        <v>29455642.019999996</v>
      </c>
      <c r="E19" s="14">
        <f>+D19/$D$33</f>
        <v>0.14453292413322494</v>
      </c>
      <c r="F19" s="10">
        <f>+'SECURED LOANS'!F77+'RETAIL CREDIT'!F20+'UNSECURED LOANS'!F20+'CAR FINANCE'!F21</f>
        <v>50739</v>
      </c>
      <c r="G19" s="14">
        <f>+F19/$F$33</f>
        <v>0.502515598692681</v>
      </c>
      <c r="H19" s="14"/>
      <c r="I19" s="9">
        <v>22947300.64</v>
      </c>
      <c r="J19" s="14">
        <v>0.1313</v>
      </c>
      <c r="K19" s="10">
        <v>40797</v>
      </c>
      <c r="L19" s="14">
        <v>0.5009</v>
      </c>
      <c r="M19" s="14"/>
      <c r="N19" s="10"/>
      <c r="O19" s="14"/>
      <c r="P19" s="9">
        <f>+'SECURED LOANS'!Q77+'RETAIL CREDIT'!Q20+'UNSECURED LOANS'!R20+'CAR FINANCE'!P21</f>
        <v>27031467.560000148</v>
      </c>
      <c r="Q19" s="14">
        <f>+P19/$P$33</f>
        <v>0.12014370560567056</v>
      </c>
      <c r="R19" s="10">
        <f>+'SECURED LOANS'!S77+'RETAIL CREDIT'!S20+'UNSECURED LOANS'!T20+'CAR FINANCE'!R21</f>
        <v>43604</v>
      </c>
      <c r="S19" s="14">
        <f>+R19/$R$33</f>
        <v>0.485551707626694</v>
      </c>
      <c r="T19" s="14"/>
      <c r="U19" s="10"/>
      <c r="V19" s="14"/>
      <c r="W19" s="9">
        <f>+'SECURED LOANS'!V77+'RETAIL CREDIT'!X20+'UNSECURED LOANS'!Y20+'CAR FINANCE'!W21</f>
        <v>26798955.209999934</v>
      </c>
      <c r="X19" s="14">
        <f>+W19/$P$33</f>
        <v>0.11911028426936676</v>
      </c>
      <c r="Y19" s="10">
        <f>+'SECURED LOANS'!X77+'RETAIL CREDIT'!Z20+'UNSECURED LOANS'!AA20+'CAR FINANCE'!Y21</f>
        <v>39589</v>
      </c>
      <c r="Z19" s="14">
        <f aca="true" t="shared" si="0" ref="Z19:Z31">+Y19/$Y$33</f>
        <v>0.4748476706808041</v>
      </c>
      <c r="AA19" s="14"/>
      <c r="AB19" s="10"/>
      <c r="AC19" s="14"/>
      <c r="AD19" s="34"/>
      <c r="AE19" s="9">
        <f>+'SECURED LOANS'!AA77+'RETAIL CREDIT'!AE20+'UNSECURED LOANS'!AF20+'CAR FINANCE'!AD21</f>
        <v>24685969.25000005</v>
      </c>
      <c r="AF19" s="14">
        <f aca="true" t="shared" si="1" ref="AF19:AF31">+AE19/$AE$33</f>
        <v>0.10623498107889023</v>
      </c>
      <c r="AG19" s="10">
        <f>+'SECURED LOANS'!AC77+'RETAIL CREDIT'!AG20+'UNSECURED LOANS'!AH20+'CAR FINANCE'!AF21</f>
        <v>35633</v>
      </c>
      <c r="AH19" s="14">
        <f aca="true" t="shared" si="2" ref="AH19:AH31">+AG19/$AG$33</f>
        <v>0.4660954872465664</v>
      </c>
      <c r="AI19" s="14"/>
      <c r="AJ19" s="10"/>
      <c r="AK19" s="14"/>
      <c r="AL19" s="9">
        <f>+'SECURED LOANS'!AF77+'RETAIL CREDIT'!AL20+'UNSECURED LOANS'!AM20+'CAR FINANCE'!AK21</f>
        <v>24964146.16000017</v>
      </c>
      <c r="AM19" s="14">
        <f aca="true" t="shared" si="3" ref="AM19:AM31">+AL19/$AL$33</f>
        <v>0.10923896830557835</v>
      </c>
      <c r="AN19" s="10">
        <f>+'SECURED LOANS'!AH77+'RETAIL CREDIT'!AN20+'UNSECURED LOANS'!AO20+'CAR FINANCE'!AM21</f>
        <v>35020</v>
      </c>
      <c r="AO19" s="14">
        <f aca="true" t="shared" si="4" ref="AO19:AO31">+AN19/$AN$33</f>
        <v>0.4719740158223157</v>
      </c>
      <c r="AP19" s="14"/>
      <c r="AQ19" s="10"/>
      <c r="AR19" s="14"/>
      <c r="AS19" s="9">
        <f>+'SECURED LOANS'!AK77+'RETAIL CREDIT'!AS20+'UNSECURED LOANS'!AT20+'CAR FINANCE'!AR21</f>
        <v>24448592.669999998</v>
      </c>
      <c r="AT19" s="14">
        <f>+AS19/$AS$33</f>
        <v>0.10820279384944623</v>
      </c>
      <c r="AU19" s="10">
        <f>+'SECURED LOANS'!AM77+'RETAIL CREDIT'!AU20+'UNSECURED LOANS'!AV20+'CAR FINANCE'!AT21</f>
        <v>31746</v>
      </c>
      <c r="AV19" s="14">
        <f aca="true" t="shared" si="5" ref="AV19:AV31">+AU19/$AU$33</f>
        <v>0.4506878291855364</v>
      </c>
      <c r="AW19" s="14"/>
      <c r="AX19" s="10"/>
      <c r="AY19" s="14"/>
      <c r="AZ19" s="9">
        <f>+'SECURED LOANS'!AP77+'RETAIL CREDIT'!AZ20+'UNSECURED LOANS'!BA20+'CAR FINANCE'!AY21</f>
        <v>27961640.439999998</v>
      </c>
      <c r="BA19" s="14">
        <f>+AZ19/$AZ$33</f>
        <v>0.10584613708097894</v>
      </c>
      <c r="BB19" s="10">
        <f>+'SECURED LOANS'!AR77+'RETAIL CREDIT'!BB20+'UNSECURED LOANS'!BC20+'CAR FINANCE'!BA21</f>
        <v>33309</v>
      </c>
      <c r="BC19" s="14">
        <f aca="true" t="shared" si="6" ref="BC19:BC31">+BB19/$BB$33</f>
        <v>0.45238968341278574</v>
      </c>
      <c r="BD19" s="14"/>
      <c r="BE19" s="10"/>
      <c r="BF19" s="14"/>
      <c r="BG19" s="9">
        <f>+'SECURED LOANS'!AU77+'RETAIL CREDIT'!BG20+'UNSECURED LOANS'!BH20+'CAR FINANCE'!BE21</f>
        <v>26576786.83000003</v>
      </c>
      <c r="BH19" s="14">
        <f aca="true" t="shared" si="7" ref="BH19:BH31">+BG19/$BG$33</f>
        <v>0.11232049342174802</v>
      </c>
      <c r="BI19" s="10">
        <f>+'SECURED LOANS'!AW77+'RETAIL CREDIT'!BI20+'UNSECURED LOANS'!BJ20+'CAR FINANCE'!BG21</f>
        <v>29036</v>
      </c>
      <c r="BJ19" s="14">
        <f aca="true" t="shared" si="8" ref="BJ19:BJ31">+BI19/$BI$33</f>
        <v>0.44991245332135055</v>
      </c>
      <c r="BK19" s="14"/>
      <c r="BL19" s="10"/>
      <c r="BM19" s="14"/>
      <c r="BN19" s="9">
        <f>+'SECURED LOANS'!AZ77+'RETAIL CREDIT'!BN20+'UNSECURED LOANS'!BO20+'CAR FINANCE'!BL21</f>
        <v>26414138.74000007</v>
      </c>
      <c r="BO19" s="14">
        <f aca="true" t="shared" si="9" ref="BO19:BO31">+BN19/$BN$33</f>
        <v>0.1216629005243249</v>
      </c>
      <c r="BP19" s="10">
        <f>+'SECURED LOANS'!BB77+'RETAIL CREDIT'!BP20+'UNSECURED LOANS'!BQ20+'CAR FINANCE'!BN21</f>
        <v>26794</v>
      </c>
      <c r="BQ19" s="14">
        <f aca="true" t="shared" si="10" ref="BQ19:BQ31">+BP19/$BP$33</f>
        <v>0.46076593695723206</v>
      </c>
      <c r="BR19" s="14"/>
      <c r="BS19" s="10"/>
      <c r="BT19" s="14"/>
      <c r="BU19" s="9">
        <f>+'SECURED LOANS'!BE77+'RETAIL CREDIT'!BU20+'UNSECURED LOANS'!BV20+'CAR FINANCE'!BS21</f>
        <v>26191064.260000013</v>
      </c>
      <c r="BV19" s="14">
        <f aca="true" t="shared" si="11" ref="BV19:BV31">+BU19/$BU$33</f>
        <v>0.11285104534509842</v>
      </c>
      <c r="BW19" s="10">
        <f>+'SECURED LOANS'!BG77+'RETAIL CREDIT'!BW20+'UNSECURED LOANS'!BX20+'CAR FINANCE'!BU21</f>
        <v>25489</v>
      </c>
      <c r="BX19" s="14">
        <f aca="true" t="shared" si="12" ref="BX19:BX31">+BW19/$BW$33</f>
        <v>0.45648942457510255</v>
      </c>
      <c r="BY19" s="14"/>
      <c r="BZ19" s="10"/>
      <c r="CA19" s="14"/>
      <c r="CB19" s="9">
        <f>+'SECURED LOANS'!BJ77+'RETAIL CREDIT'!CB20+'UNSECURED LOANS'!CC20+'CAR FINANCE'!BZ21</f>
        <v>28200820.550000086</v>
      </c>
      <c r="CC19" s="14">
        <f aca="true" t="shared" si="13" ref="CC19:CC31">+CB19/$CB$33</f>
        <v>0.12111852758634284</v>
      </c>
      <c r="CD19" s="10">
        <f>+'SECURED LOANS'!BL77+'RETAIL CREDIT'!CD20+'UNSECURED LOANS'!CE20+'CAR FINANCE'!CB21</f>
        <v>26297</v>
      </c>
      <c r="CE19" s="14">
        <f aca="true" t="shared" si="14" ref="CE19:CE31">+CD19/$CD$33</f>
        <v>0.4793649057566809</v>
      </c>
      <c r="CF19" s="14"/>
      <c r="CG19" s="10"/>
      <c r="CH19" s="14"/>
      <c r="CI19" s="9">
        <f>+'SECURED LOANS'!BO77+'RETAIL CREDIT'!CI20+'UNSECURED LOANS'!CJ20+'CAR FINANCE'!CG21</f>
        <v>24730609.52000005</v>
      </c>
      <c r="CJ19" s="14">
        <f aca="true" t="shared" si="15" ref="CJ19:CJ31">+CI19/$CI$33</f>
        <v>0.1106410728843521</v>
      </c>
      <c r="CK19" s="10">
        <f>+'SECURED LOANS'!BQ77+'RETAIL CREDIT'!CK20+'UNSECURED LOANS'!CL20+'CAR FINANCE'!CI21</f>
        <v>21656</v>
      </c>
      <c r="CL19" s="14">
        <f aca="true" t="shared" si="16" ref="CL19:CL31">+CK19/$CK$33</f>
        <v>0.4600220919364432</v>
      </c>
      <c r="CM19" s="14"/>
      <c r="CN19" s="10"/>
      <c r="CO19" s="9">
        <f>+'SECURED LOANS'!BT77+'RETAIL CREDIT'!CP20+'UNSECURED LOANS'!CQ20+'CAR FINANCE'!CN21</f>
        <v>24658039.27999997</v>
      </c>
      <c r="CP19" s="14">
        <f aca="true" t="shared" si="17" ref="CP19:CP31">+CO19/$CO$33</f>
        <v>0.11583542986287924</v>
      </c>
      <c r="CQ19" s="10">
        <f>+'SECURED LOANS'!BV77+'RETAIL CREDIT'!CR20+'UNSECURED LOANS'!CS20+'CAR FINANCE'!CP21</f>
        <v>18695</v>
      </c>
      <c r="CR19" s="14">
        <f aca="true" t="shared" si="18" ref="CR19:CR31">+CQ19/$CQ$33</f>
        <v>0.4643912859875301</v>
      </c>
      <c r="CS19" s="34"/>
      <c r="CT19" s="34"/>
      <c r="CU19" s="100">
        <f>+'SECURED LOANS'!BY77+'RETAIL CREDIT'!CW20+'UNSECURED LOANS'!CX20+'CAR FINANCE'!CU21</f>
        <v>29167225.419999965</v>
      </c>
      <c r="CV19" s="14">
        <f aca="true" t="shared" si="19" ref="CV19:CV31">+CU19/$CU$33</f>
        <v>0.12122104916468092</v>
      </c>
      <c r="CW19" s="10">
        <f>+'SECURED LOANS'!CA77+'RETAIL CREDIT'!CY20+'UNSECURED LOANS'!CZ20+'CAR FINANCE'!CW21</f>
        <v>19804</v>
      </c>
      <c r="CX19" s="14">
        <f aca="true" t="shared" si="20" ref="CX19:CX31">+CW19/$CW$33</f>
        <v>0.45312893261640547</v>
      </c>
      <c r="CY19" s="34"/>
      <c r="CZ19" s="34"/>
    </row>
    <row r="20" spans="1:104" ht="12.75">
      <c r="A20" s="8" t="s">
        <v>27</v>
      </c>
      <c r="B20" s="8"/>
      <c r="C20" s="8"/>
      <c r="D20" s="9">
        <f>+'SECURED LOANS'!D78+'RETAIL CREDIT'!D21+'UNSECURED LOANS'!D21+'CAR FINANCE'!D22</f>
        <v>31472212.80000002</v>
      </c>
      <c r="E20" s="14">
        <f aca="true" t="shared" si="21" ref="E20:E31">+D20/$D$33</f>
        <v>0.15442783225836862</v>
      </c>
      <c r="F20" s="10">
        <f>+'SECURED LOANS'!F78+'RETAIL CREDIT'!F21+'UNSECURED LOANS'!F21+'CAR FINANCE'!F22</f>
        <v>20303</v>
      </c>
      <c r="G20" s="14">
        <f aca="true" t="shared" si="22" ref="G20:G31">+F20/$F$33</f>
        <v>0.20107952857284342</v>
      </c>
      <c r="H20" s="14"/>
      <c r="I20" s="9">
        <v>25830206.24</v>
      </c>
      <c r="J20" s="14">
        <v>0.1478</v>
      </c>
      <c r="K20" s="10">
        <v>16878</v>
      </c>
      <c r="L20" s="14">
        <v>0.2072</v>
      </c>
      <c r="M20" s="14"/>
      <c r="N20" s="10"/>
      <c r="O20" s="14"/>
      <c r="P20" s="9">
        <f>+'SECURED LOANS'!Q78+'RETAIL CREDIT'!Q21+'UNSECURED LOANS'!R21+'CAR FINANCE'!P22</f>
        <v>25936744.699999962</v>
      </c>
      <c r="Q20" s="14">
        <f aca="true" t="shared" si="23" ref="Q20:Q31">+P20/$P$33</f>
        <v>0.11527811476345218</v>
      </c>
      <c r="R20" s="10">
        <f>+'SECURED LOANS'!S78+'RETAIL CREDIT'!S21+'UNSECURED LOANS'!T21+'CAR FINANCE'!R22</f>
        <v>17007</v>
      </c>
      <c r="S20" s="14">
        <f aca="true" t="shared" si="24" ref="S20:S31">+R20/$R$33</f>
        <v>0.1893812010734608</v>
      </c>
      <c r="T20" s="14"/>
      <c r="U20" s="10"/>
      <c r="V20" s="14"/>
      <c r="W20" s="9">
        <f>+'SECURED LOANS'!V78+'RETAIL CREDIT'!X21+'UNSECURED LOANS'!Y21+'CAR FINANCE'!W22</f>
        <v>23961522.530000016</v>
      </c>
      <c r="X20" s="14">
        <f aca="true" t="shared" si="25" ref="X20:X31">+W20/$P$33</f>
        <v>0.10649906825509953</v>
      </c>
      <c r="Y20" s="10">
        <f>+'SECURED LOANS'!X78+'RETAIL CREDIT'!Z21+'UNSECURED LOANS'!AA21+'CAR FINANCE'!Y22</f>
        <v>14730</v>
      </c>
      <c r="Z20" s="14">
        <f t="shared" si="0"/>
        <v>0.1766780213980713</v>
      </c>
      <c r="AA20" s="14"/>
      <c r="AB20" s="10"/>
      <c r="AC20" s="14"/>
      <c r="AD20" s="34"/>
      <c r="AE20" s="9">
        <f>+'SECURED LOANS'!AA78+'RETAIL CREDIT'!AE21+'UNSECURED LOANS'!AF21+'CAR FINANCE'!AD22</f>
        <v>23408077.119999975</v>
      </c>
      <c r="AF20" s="14">
        <f t="shared" si="1"/>
        <v>0.10073562859746314</v>
      </c>
      <c r="AG20" s="10">
        <f>+'SECURED LOANS'!AC78+'RETAIL CREDIT'!AG21+'UNSECURED LOANS'!AH21+'CAR FINANCE'!AF22</f>
        <v>13646</v>
      </c>
      <c r="AH20" s="14">
        <f t="shared" si="2"/>
        <v>0.17849574885546107</v>
      </c>
      <c r="AI20" s="14"/>
      <c r="AJ20" s="10"/>
      <c r="AK20" s="14"/>
      <c r="AL20" s="9">
        <f>+'SECURED LOANS'!AF78+'RETAIL CREDIT'!AL21+'UNSECURED LOANS'!AM21+'CAR FINANCE'!AK22</f>
        <v>23193724.009999953</v>
      </c>
      <c r="AM20" s="14">
        <f t="shared" si="3"/>
        <v>0.10149189424617192</v>
      </c>
      <c r="AN20" s="10">
        <f>+'SECURED LOANS'!AH78+'RETAIL CREDIT'!AN21+'UNSECURED LOANS'!AO21+'CAR FINANCE'!AM22</f>
        <v>12914</v>
      </c>
      <c r="AO20" s="14">
        <f t="shared" si="4"/>
        <v>0.17404547231094758</v>
      </c>
      <c r="AP20" s="14"/>
      <c r="AQ20" s="10"/>
      <c r="AR20" s="14"/>
      <c r="AS20" s="9">
        <f>+'SECURED LOANS'!AK78+'RETAIL CREDIT'!AS21+'UNSECURED LOANS'!AT21+'CAR FINANCE'!AR22</f>
        <v>22734726.82000003</v>
      </c>
      <c r="AT20" s="14">
        <f aca="true" t="shared" si="26" ref="AT20:AT31">+AS20/$AS$33</f>
        <v>0.10061769168196215</v>
      </c>
      <c r="AU20" s="10">
        <f>+'SECURED LOANS'!AM78+'RETAIL CREDIT'!AU21+'UNSECURED LOANS'!AV21+'CAR FINANCE'!AT22</f>
        <v>12321</v>
      </c>
      <c r="AV20" s="14">
        <f t="shared" si="5"/>
        <v>0.17491730433424665</v>
      </c>
      <c r="AW20" s="14"/>
      <c r="AX20" s="10"/>
      <c r="AY20" s="14"/>
      <c r="AZ20" s="9">
        <f>+'SECURED LOANS'!AP78+'RETAIL CREDIT'!AZ21+'UNSECURED LOANS'!BA21+'CAR FINANCE'!AY22</f>
        <v>24088177.689999968</v>
      </c>
      <c r="BA20" s="14">
        <f aca="true" t="shared" si="27" ref="BA20:BA31">+AZ20/$AZ$33</f>
        <v>0.09118351132787528</v>
      </c>
      <c r="BB20" s="10">
        <f>+'SECURED LOANS'!AR78+'RETAIL CREDIT'!BB21+'UNSECURED LOANS'!BC21+'CAR FINANCE'!BA22</f>
        <v>12623</v>
      </c>
      <c r="BC20" s="14">
        <f t="shared" si="6"/>
        <v>0.17144060085020849</v>
      </c>
      <c r="BD20" s="14"/>
      <c r="BE20" s="10"/>
      <c r="BF20" s="14"/>
      <c r="BG20" s="9">
        <f>+'SECURED LOANS'!AU78+'RETAIL CREDIT'!BG21+'UNSECURED LOANS'!BH21+'CAR FINANCE'!BE22</f>
        <v>21785452.67999998</v>
      </c>
      <c r="BH20" s="14">
        <f t="shared" si="7"/>
        <v>0.09207105471725446</v>
      </c>
      <c r="BI20" s="10">
        <f>+'SECURED LOANS'!AW78+'RETAIL CREDIT'!BI21+'UNSECURED LOANS'!BJ21+'CAR FINANCE'!BG22</f>
        <v>11189</v>
      </c>
      <c r="BJ20" s="14">
        <f t="shared" si="8"/>
        <v>0.17337341370066783</v>
      </c>
      <c r="BK20" s="14"/>
      <c r="BL20" s="10"/>
      <c r="BM20" s="14"/>
      <c r="BN20" s="9">
        <f>+'SECURED LOANS'!AZ78+'RETAIL CREDIT'!BN21+'UNSECURED LOANS'!BO21+'CAR FINANCE'!BL22</f>
        <v>22118423.300000004</v>
      </c>
      <c r="BO20" s="14">
        <f t="shared" si="9"/>
        <v>0.10187693644645418</v>
      </c>
      <c r="BP20" s="10">
        <f>+'SECURED LOANS'!BB78+'RETAIL CREDIT'!BP21+'UNSECURED LOANS'!BQ21+'CAR FINANCE'!BN22</f>
        <v>10281</v>
      </c>
      <c r="BQ20" s="14">
        <f t="shared" si="10"/>
        <v>0.1767983353682654</v>
      </c>
      <c r="BR20" s="14"/>
      <c r="BS20" s="10"/>
      <c r="BT20" s="14"/>
      <c r="BU20" s="9">
        <f>+'SECURED LOANS'!BE78+'RETAIL CREDIT'!BU21+'UNSECURED LOANS'!BV21+'CAR FINANCE'!BS22</f>
        <v>22797208.88999997</v>
      </c>
      <c r="BV20" s="14">
        <f t="shared" si="11"/>
        <v>0.09822773250631803</v>
      </c>
      <c r="BW20" s="10">
        <f>+'SECURED LOANS'!BG78+'RETAIL CREDIT'!BW21+'UNSECURED LOANS'!BX21+'CAR FINANCE'!BU22</f>
        <v>9893</v>
      </c>
      <c r="BX20" s="14">
        <f t="shared" si="12"/>
        <v>0.17717642423482638</v>
      </c>
      <c r="BY20" s="14"/>
      <c r="BZ20" s="10"/>
      <c r="CA20" s="14"/>
      <c r="CB20" s="9">
        <f>+'SECURED LOANS'!BJ78+'RETAIL CREDIT'!CB21+'UNSECURED LOANS'!CC21+'CAR FINANCE'!BZ22</f>
        <v>23381148.560000017</v>
      </c>
      <c r="CC20" s="14">
        <f t="shared" si="13"/>
        <v>0.10041871944271258</v>
      </c>
      <c r="CD20" s="10">
        <f>+'SECURED LOANS'!BL78+'RETAIL CREDIT'!CD21+'UNSECURED LOANS'!CE21+'CAR FINANCE'!CB22</f>
        <v>9433</v>
      </c>
      <c r="CE20" s="14">
        <f t="shared" si="14"/>
        <v>0.17195304240037915</v>
      </c>
      <c r="CF20" s="14"/>
      <c r="CG20" s="10"/>
      <c r="CH20" s="14"/>
      <c r="CI20" s="9">
        <f>+'SECURED LOANS'!BO78+'RETAIL CREDIT'!CI21+'UNSECURED LOANS'!CJ21+'CAR FINANCE'!CG22</f>
        <v>21557667.24000002</v>
      </c>
      <c r="CJ20" s="14">
        <f t="shared" si="15"/>
        <v>0.0964458005124593</v>
      </c>
      <c r="CK20" s="10">
        <f>+'SECURED LOANS'!BQ78+'RETAIL CREDIT'!CK21+'UNSECURED LOANS'!CL21+'CAR FINANCE'!CI22</f>
        <v>8238</v>
      </c>
      <c r="CL20" s="14">
        <f t="shared" si="16"/>
        <v>0.174993627326026</v>
      </c>
      <c r="CM20" s="14"/>
      <c r="CN20" s="10"/>
      <c r="CO20" s="9">
        <f>+'SECURED LOANS'!BT78+'RETAIL CREDIT'!CP21+'UNSECURED LOANS'!CQ21+'CAR FINANCE'!CN22</f>
        <v>22139435.280000012</v>
      </c>
      <c r="CP20" s="14">
        <f t="shared" si="17"/>
        <v>0.10400384935148821</v>
      </c>
      <c r="CQ20" s="10">
        <f>+'SECURED LOANS'!BV78+'RETAIL CREDIT'!CR21+'UNSECURED LOANS'!CS21+'CAR FINANCE'!CP22</f>
        <v>7198</v>
      </c>
      <c r="CR20" s="14">
        <f t="shared" si="18"/>
        <v>0.17880120227538068</v>
      </c>
      <c r="CS20" s="34"/>
      <c r="CT20" s="34"/>
      <c r="CU20" s="100">
        <f>+'SECURED LOANS'!BY78+'RETAIL CREDIT'!CW21+'UNSECURED LOANS'!CX21+'CAR FINANCE'!CU22</f>
        <v>28090824.91</v>
      </c>
      <c r="CV20" s="14">
        <f t="shared" si="19"/>
        <v>0.11674745261016868</v>
      </c>
      <c r="CW20" s="10">
        <f>+'SECURED LOANS'!CA78+'RETAIL CREDIT'!CY21+'UNSECURED LOANS'!CZ21+'CAR FINANCE'!CW22</f>
        <v>8424</v>
      </c>
      <c r="CX20" s="14">
        <f t="shared" si="20"/>
        <v>0.19274682530602905</v>
      </c>
      <c r="CY20" s="34"/>
      <c r="CZ20" s="34"/>
    </row>
    <row r="21" spans="1:104" ht="12.75">
      <c r="A21" s="8" t="s">
        <v>28</v>
      </c>
      <c r="B21" s="8"/>
      <c r="C21" s="8"/>
      <c r="D21" s="9">
        <f>+'SECURED LOANS'!D79+'RETAIL CREDIT'!D22+'UNSECURED LOANS'!D22+'CAR FINANCE'!D23</f>
        <v>32659745.990000047</v>
      </c>
      <c r="E21" s="14">
        <f t="shared" si="21"/>
        <v>0.1602548193034794</v>
      </c>
      <c r="F21" s="10">
        <f>+'SECURED LOANS'!F79+'RETAIL CREDIT'!F22+'UNSECURED LOANS'!F22+'CAR FINANCE'!F23</f>
        <v>13928</v>
      </c>
      <c r="G21" s="14">
        <f t="shared" si="22"/>
        <v>0.13794196295929484</v>
      </c>
      <c r="H21" s="14"/>
      <c r="I21" s="9">
        <v>28370991.33</v>
      </c>
      <c r="J21" s="14">
        <v>0.1624</v>
      </c>
      <c r="K21" s="10">
        <v>11033</v>
      </c>
      <c r="L21" s="14">
        <v>0.1355</v>
      </c>
      <c r="M21" s="14"/>
      <c r="N21" s="10"/>
      <c r="O21" s="14"/>
      <c r="P21" s="9">
        <f>+'SECURED LOANS'!Q79+'RETAIL CREDIT'!Q22+'UNSECURED LOANS'!R22+'CAR FINANCE'!P23</f>
        <v>31472188.080000043</v>
      </c>
      <c r="Q21" s="14">
        <f t="shared" si="23"/>
        <v>0.13988087369126173</v>
      </c>
      <c r="R21" s="10">
        <f>+'SECURED LOANS'!S79+'RETAIL CREDIT'!S22+'UNSECURED LOANS'!T22+'CAR FINANCE'!R23</f>
        <v>12602</v>
      </c>
      <c r="S21" s="14">
        <f t="shared" si="24"/>
        <v>0.14032938765965502</v>
      </c>
      <c r="T21" s="14"/>
      <c r="U21" s="10"/>
      <c r="V21" s="14"/>
      <c r="W21" s="9">
        <f>+'SECURED LOANS'!V79+'RETAIL CREDIT'!X22+'UNSECURED LOANS'!Y22+'CAR FINANCE'!W23</f>
        <v>31381585.979999967</v>
      </c>
      <c r="X21" s="14">
        <f t="shared" si="25"/>
        <v>0.13947818478783822</v>
      </c>
      <c r="Y21" s="10">
        <f>+'SECURED LOANS'!X79+'RETAIL CREDIT'!Z22+'UNSECURED LOANS'!AA22+'CAR FINANCE'!Y23</f>
        <v>11557</v>
      </c>
      <c r="Z21" s="14">
        <f t="shared" si="0"/>
        <v>0.13861968046826273</v>
      </c>
      <c r="AA21" s="14"/>
      <c r="AB21" s="10"/>
      <c r="AC21" s="14"/>
      <c r="AD21" s="34"/>
      <c r="AE21" s="9">
        <f>+'SECURED LOANS'!AA79+'RETAIL CREDIT'!AE22+'UNSECURED LOANS'!AF22+'CAR FINANCE'!AD23</f>
        <v>28030777.069999985</v>
      </c>
      <c r="AF21" s="14">
        <f t="shared" si="1"/>
        <v>0.12062921417023287</v>
      </c>
      <c r="AG21" s="10">
        <f>+'SECURED LOANS'!AC79+'RETAIL CREDIT'!AG22+'UNSECURED LOANS'!AH22+'CAR FINANCE'!AF23</f>
        <v>9739</v>
      </c>
      <c r="AH21" s="14">
        <f t="shared" si="2"/>
        <v>0.12739045127534337</v>
      </c>
      <c r="AI21" s="14"/>
      <c r="AJ21" s="10"/>
      <c r="AK21" s="14"/>
      <c r="AL21" s="9">
        <f>+'SECURED LOANS'!AF79+'RETAIL CREDIT'!AL22+'UNSECURED LOANS'!AM22+'CAR FINANCE'!AK23</f>
        <v>28046057.589999977</v>
      </c>
      <c r="AM21" s="14">
        <f t="shared" si="3"/>
        <v>0.12272490220712645</v>
      </c>
      <c r="AN21" s="10">
        <f>+'SECURED LOANS'!AH79+'RETAIL CREDIT'!AN22+'UNSECURED LOANS'!AO22+'CAR FINANCE'!AM23</f>
        <v>8905</v>
      </c>
      <c r="AO21" s="14">
        <f t="shared" si="4"/>
        <v>0.12001509454305315</v>
      </c>
      <c r="AP21" s="14"/>
      <c r="AQ21" s="10"/>
      <c r="AR21" s="14"/>
      <c r="AS21" s="9">
        <f>+'SECURED LOANS'!AK79+'RETAIL CREDIT'!AS22+'UNSECURED LOANS'!AT22+'CAR FINANCE'!AR23</f>
        <v>30885325.56000001</v>
      </c>
      <c r="AT21" s="14">
        <f t="shared" si="26"/>
        <v>0.13669001564423028</v>
      </c>
      <c r="AU21" s="10">
        <f>+'SECURED LOANS'!AM79+'RETAIL CREDIT'!AU22+'UNSECURED LOANS'!AV22+'CAR FINANCE'!AT23</f>
        <v>8718</v>
      </c>
      <c r="AV21" s="14">
        <f t="shared" si="5"/>
        <v>0.12376666335410781</v>
      </c>
      <c r="AW21" s="14"/>
      <c r="AX21" s="10"/>
      <c r="AY21" s="14"/>
      <c r="AZ21" s="9">
        <f>+'SECURED LOANS'!AP79+'RETAIL CREDIT'!AZ22+'UNSECURED LOANS'!BA22+'CAR FINANCE'!AY23</f>
        <v>34496633.70000002</v>
      </c>
      <c r="BA21" s="14">
        <f t="shared" si="27"/>
        <v>0.1305837340723104</v>
      </c>
      <c r="BB21" s="10">
        <f>+'SECURED LOANS'!AR79+'RETAIL CREDIT'!BB22+'UNSECURED LOANS'!BC22+'CAR FINANCE'!BA23</f>
        <v>8898</v>
      </c>
      <c r="BC21" s="14">
        <f t="shared" si="6"/>
        <v>0.12084912194923196</v>
      </c>
      <c r="BD21" s="14"/>
      <c r="BE21" s="10"/>
      <c r="BF21" s="14"/>
      <c r="BG21" s="9">
        <f>+'SECURED LOANS'!AU79+'RETAIL CREDIT'!BG22+'UNSECURED LOANS'!BH22+'CAR FINANCE'!BE23</f>
        <v>34105619.24999997</v>
      </c>
      <c r="BH21" s="14">
        <f t="shared" si="7"/>
        <v>0.14413932004338764</v>
      </c>
      <c r="BI21" s="10">
        <f>+'SECURED LOANS'!AW79+'RETAIL CREDIT'!BI22+'UNSECURED LOANS'!BJ22+'CAR FINANCE'!BG23</f>
        <v>8293</v>
      </c>
      <c r="BJ21" s="14">
        <f t="shared" si="8"/>
        <v>0.12849993027255682</v>
      </c>
      <c r="BK21" s="14"/>
      <c r="BL21" s="10"/>
      <c r="BM21" s="14"/>
      <c r="BN21" s="9">
        <f>+'SECURED LOANS'!AZ79+'RETAIL CREDIT'!BN22+'UNSECURED LOANS'!BO22+'CAR FINANCE'!BL23</f>
        <v>35673347.410000004</v>
      </c>
      <c r="BO21" s="14">
        <f t="shared" si="9"/>
        <v>0.1643105974430307</v>
      </c>
      <c r="BP21" s="10">
        <f>+'SECURED LOANS'!BB79+'RETAIL CREDIT'!BP22+'UNSECURED LOANS'!BQ22+'CAR FINANCE'!BN23</f>
        <v>7982</v>
      </c>
      <c r="BQ21" s="14">
        <f t="shared" si="10"/>
        <v>0.13726333167099447</v>
      </c>
      <c r="BR21" s="14"/>
      <c r="BS21" s="10"/>
      <c r="BT21" s="14"/>
      <c r="BU21" s="9">
        <f>+'SECURED LOANS'!BE79+'RETAIL CREDIT'!BU22+'UNSECURED LOANS'!BV22+'CAR FINANCE'!BS23</f>
        <v>35654490.859999985</v>
      </c>
      <c r="BV21" s="14">
        <f t="shared" si="11"/>
        <v>0.15362669209831695</v>
      </c>
      <c r="BW21" s="10">
        <f>+'SECURED LOANS'!BG79+'RETAIL CREDIT'!BW22+'UNSECURED LOANS'!BX22+'CAR FINANCE'!BU23</f>
        <v>7903</v>
      </c>
      <c r="BX21" s="14">
        <f t="shared" si="12"/>
        <v>0.14153697369128</v>
      </c>
      <c r="BY21" s="14"/>
      <c r="BZ21" s="10"/>
      <c r="CA21" s="14"/>
      <c r="CB21" s="9">
        <f>+'SECURED LOANS'!BJ79+'RETAIL CREDIT'!CB22+'UNSECURED LOANS'!CC22+'CAR FINANCE'!BZ23</f>
        <v>35350278.79999997</v>
      </c>
      <c r="CC21" s="14">
        <f t="shared" si="13"/>
        <v>0.1518244375347686</v>
      </c>
      <c r="CD21" s="10">
        <f>+'SECURED LOANS'!BL79+'RETAIL CREDIT'!CD22+'UNSECURED LOANS'!CE22+'CAR FINANCE'!CB23</f>
        <v>7655</v>
      </c>
      <c r="CE21" s="14">
        <f t="shared" si="14"/>
        <v>0.13954209048816946</v>
      </c>
      <c r="CF21" s="14"/>
      <c r="CG21" s="10"/>
      <c r="CH21" s="14"/>
      <c r="CI21" s="9">
        <f>+'SECURED LOANS'!BO79+'RETAIL CREDIT'!CI22+'UNSECURED LOANS'!CJ22+'CAR FINANCE'!CG23</f>
        <v>33171369.2</v>
      </c>
      <c r="CJ21" s="14">
        <f t="shared" si="15"/>
        <v>0.14840377768946086</v>
      </c>
      <c r="CK21" s="10">
        <f>+'SECURED LOANS'!BQ79+'RETAIL CREDIT'!CK22+'UNSECURED LOANS'!CL22+'CAR FINANCE'!CI23</f>
        <v>6820</v>
      </c>
      <c r="CL21" s="14">
        <f t="shared" si="16"/>
        <v>0.1448721216755884</v>
      </c>
      <c r="CM21" s="14"/>
      <c r="CN21" s="10"/>
      <c r="CO21" s="9">
        <f>+'SECURED LOANS'!BT79+'RETAIL CREDIT'!CP22+'UNSECURED LOANS'!CQ22+'CAR FINANCE'!CN23</f>
        <v>27723189.489999995</v>
      </c>
      <c r="CP21" s="14">
        <f t="shared" si="17"/>
        <v>0.13023450629137812</v>
      </c>
      <c r="CQ21" s="10">
        <f>+'SECURED LOANS'!BV79+'RETAIL CREDIT'!CR22+'UNSECURED LOANS'!CS22+'CAR FINANCE'!CP23</f>
        <v>5573</v>
      </c>
      <c r="CR21" s="14">
        <f t="shared" si="18"/>
        <v>0.1384355515810915</v>
      </c>
      <c r="CS21" s="34"/>
      <c r="CT21" s="34"/>
      <c r="CU21" s="100">
        <f>+'SECURED LOANS'!BY79+'RETAIL CREDIT'!CW22+'UNSECURED LOANS'!CX22+'CAR FINANCE'!CU23</f>
        <v>36619537.92000004</v>
      </c>
      <c r="CV21" s="14">
        <f t="shared" si="19"/>
        <v>0.15219338633233037</v>
      </c>
      <c r="CW21" s="10">
        <f>+'SECURED LOANS'!CA79+'RETAIL CREDIT'!CY22+'UNSECURED LOANS'!CZ22+'CAR FINANCE'!CW23</f>
        <v>6576</v>
      </c>
      <c r="CX21" s="14">
        <f t="shared" si="20"/>
        <v>0.15046333371467796</v>
      </c>
      <c r="CY21" s="34"/>
      <c r="CZ21" s="34"/>
    </row>
    <row r="22" spans="1:104" ht="12.75">
      <c r="A22" s="8" t="s">
        <v>29</v>
      </c>
      <c r="B22" s="8"/>
      <c r="C22" s="8"/>
      <c r="D22" s="9">
        <f>+'SECURED LOANS'!D80+'RETAIL CREDIT'!D23+'UNSECURED LOANS'!D23+'CAR FINANCE'!D24</f>
        <v>27618920.45000002</v>
      </c>
      <c r="E22" s="14">
        <f t="shared" si="21"/>
        <v>0.13552049998879734</v>
      </c>
      <c r="F22" s="10">
        <f>+'SECURED LOANS'!F80+'RETAIL CREDIT'!F23+'UNSECURED LOANS'!F23+'CAR FINANCE'!F24</f>
        <v>7070</v>
      </c>
      <c r="G22" s="14">
        <f t="shared" si="22"/>
        <v>0.07002079825690799</v>
      </c>
      <c r="H22" s="14"/>
      <c r="I22" s="9">
        <v>24540678</v>
      </c>
      <c r="J22" s="14">
        <v>0.1405</v>
      </c>
      <c r="K22" s="10">
        <v>5285</v>
      </c>
      <c r="L22" s="14">
        <v>0.0649</v>
      </c>
      <c r="M22" s="14"/>
      <c r="N22" s="10"/>
      <c r="O22" s="14"/>
      <c r="P22" s="9">
        <f>+'SECURED LOANS'!Q80+'RETAIL CREDIT'!Q23+'UNSECURED LOANS'!R23+'CAR FINANCE'!P24</f>
        <v>29882656.54999997</v>
      </c>
      <c r="Q22" s="14">
        <f t="shared" si="23"/>
        <v>0.1328160627346472</v>
      </c>
      <c r="R22" s="10">
        <f>+'SECURED LOANS'!S80+'RETAIL CREDIT'!S23+'UNSECURED LOANS'!T23+'CAR FINANCE'!R24</f>
        <v>6037</v>
      </c>
      <c r="S22" s="14">
        <f t="shared" si="24"/>
        <v>0.06722492567063461</v>
      </c>
      <c r="T22" s="14"/>
      <c r="U22" s="10"/>
      <c r="V22" s="14"/>
      <c r="W22" s="9">
        <f>+'SECURED LOANS'!V80+'RETAIL CREDIT'!X23+'UNSECURED LOANS'!Y23+'CAR FINANCE'!W24</f>
        <v>34397044.35000001</v>
      </c>
      <c r="X22" s="14">
        <f t="shared" si="25"/>
        <v>0.15288065144516233</v>
      </c>
      <c r="Y22" s="10">
        <f>+'SECURED LOANS'!X80+'RETAIL CREDIT'!Z23+'UNSECURED LOANS'!AA23+'CAR FINANCE'!Y24</f>
        <v>6426</v>
      </c>
      <c r="Z22" s="14">
        <f t="shared" si="0"/>
        <v>0.07707623662620544</v>
      </c>
      <c r="AA22" s="14"/>
      <c r="AB22" s="10"/>
      <c r="AC22" s="14"/>
      <c r="AD22" s="34"/>
      <c r="AE22" s="9">
        <f>+'SECURED LOANS'!AA80+'RETAIL CREDIT'!AE23+'UNSECURED LOANS'!AF23+'CAR FINANCE'!AD24</f>
        <v>38562436.26000003</v>
      </c>
      <c r="AF22" s="14">
        <f t="shared" si="1"/>
        <v>0.1659517455016276</v>
      </c>
      <c r="AG22" s="10">
        <f>+'SECURED LOANS'!AC80+'RETAIL CREDIT'!AG23+'UNSECURED LOANS'!AH23+'CAR FINANCE'!AF24</f>
        <v>6710</v>
      </c>
      <c r="AH22" s="14">
        <f t="shared" si="2"/>
        <v>0.08776978417266187</v>
      </c>
      <c r="AI22" s="14"/>
      <c r="AJ22" s="10"/>
      <c r="AK22" s="14"/>
      <c r="AL22" s="9">
        <f>+'SECURED LOANS'!AF80+'RETAIL CREDIT'!AL23+'UNSECURED LOANS'!AM23+'CAR FINANCE'!AK24</f>
        <v>45337932.36999999</v>
      </c>
      <c r="AM22" s="14">
        <f t="shared" si="3"/>
        <v>0.1983912818593612</v>
      </c>
      <c r="AN22" s="10">
        <f>+'SECURED LOANS'!AH80+'RETAIL CREDIT'!AN23+'UNSECURED LOANS'!AO23+'CAR FINANCE'!AM24</f>
        <v>7417</v>
      </c>
      <c r="AO22" s="14">
        <f t="shared" si="4"/>
        <v>0.09996091591530883</v>
      </c>
      <c r="AP22" s="14"/>
      <c r="AQ22" s="10"/>
      <c r="AR22" s="14"/>
      <c r="AS22" s="9">
        <f>+'SECURED LOANS'!AK80+'RETAIL CREDIT'!AS23+'UNSECURED LOANS'!AT23+'CAR FINANCE'!AR24</f>
        <v>48819335.24999998</v>
      </c>
      <c r="AT22" s="14">
        <f t="shared" si="26"/>
        <v>0.2160610444626771</v>
      </c>
      <c r="AU22" s="10">
        <f>+'SECURED LOANS'!AM80+'RETAIL CREDIT'!AU23+'UNSECURED LOANS'!AV23+'CAR FINANCE'!AT24</f>
        <v>7989</v>
      </c>
      <c r="AV22" s="14">
        <f t="shared" si="5"/>
        <v>0.11341728303922542</v>
      </c>
      <c r="AW22" s="14"/>
      <c r="AX22" s="10"/>
      <c r="AY22" s="14"/>
      <c r="AZ22" s="9">
        <f>+'SECURED LOANS'!AP80+'RETAIL CREDIT'!AZ23+'UNSECURED LOANS'!BA23+'CAR FINANCE'!AY24</f>
        <v>49294814.39999999</v>
      </c>
      <c r="BA22" s="14">
        <f t="shared" si="27"/>
        <v>0.18660084316440106</v>
      </c>
      <c r="BB22" s="10">
        <f>+'SECURED LOANS'!AR80+'RETAIL CREDIT'!BB23+'UNSECURED LOANS'!BC23+'CAR FINANCE'!BA24</f>
        <v>8070</v>
      </c>
      <c r="BC22" s="14">
        <f t="shared" si="6"/>
        <v>0.10960355294788739</v>
      </c>
      <c r="BD22" s="14"/>
      <c r="BE22" s="10"/>
      <c r="BF22" s="14"/>
      <c r="BG22" s="9">
        <f>+'SECURED LOANS'!AU80+'RETAIL CREDIT'!BG23+'UNSECURED LOANS'!BH23+'CAR FINANCE'!BE24</f>
        <v>44851448.22000007</v>
      </c>
      <c r="BH22" s="14">
        <f t="shared" si="7"/>
        <v>0.1895540204681088</v>
      </c>
      <c r="BI22" s="10">
        <f>+'SECURED LOANS'!AW80+'RETAIL CREDIT'!BI23+'UNSECURED LOANS'!BJ23+'CAR FINANCE'!BG24</f>
        <v>7262</v>
      </c>
      <c r="BJ22" s="14">
        <f t="shared" si="8"/>
        <v>0.11252459829245239</v>
      </c>
      <c r="BK22" s="14"/>
      <c r="BL22" s="10"/>
      <c r="BM22" s="14"/>
      <c r="BN22" s="9">
        <f>+'SECURED LOANS'!AZ80+'RETAIL CREDIT'!BN23+'UNSECURED LOANS'!BO23+'CAR FINANCE'!BL24</f>
        <v>37453099.519999996</v>
      </c>
      <c r="BO22" s="14">
        <f t="shared" si="9"/>
        <v>0.17250809371759163</v>
      </c>
      <c r="BP22" s="10">
        <f>+'SECURED LOANS'!BB80+'RETAIL CREDIT'!BP23+'UNSECURED LOANS'!BQ23+'CAR FINANCE'!BN24</f>
        <v>6158</v>
      </c>
      <c r="BQ22" s="14">
        <f t="shared" si="10"/>
        <v>0.10589671716737459</v>
      </c>
      <c r="BR22" s="14"/>
      <c r="BS22" s="10"/>
      <c r="BT22" s="14"/>
      <c r="BU22" s="9">
        <f>+'SECURED LOANS'!BE80+'RETAIL CREDIT'!BU23+'UNSECURED LOANS'!BV23+'CAR FINANCE'!BS24</f>
        <v>32370061.130000055</v>
      </c>
      <c r="BV22" s="14">
        <f t="shared" si="11"/>
        <v>0.13947486822764346</v>
      </c>
      <c r="BW22" s="10">
        <f>+'SECURED LOANS'!BG80+'RETAIL CREDIT'!BW23+'UNSECURED LOANS'!BX23+'CAR FINANCE'!BU24</f>
        <v>5376</v>
      </c>
      <c r="BX22" s="14">
        <f t="shared" si="12"/>
        <v>0.09628024428246504</v>
      </c>
      <c r="BY22" s="14"/>
      <c r="BZ22" s="10"/>
      <c r="CA22" s="14"/>
      <c r="CB22" s="9">
        <f>+'SECURED LOANS'!BJ80+'RETAIL CREDIT'!CB23+'UNSECURED LOANS'!CC23+'CAR FINANCE'!BZ24</f>
        <v>28368780.459999986</v>
      </c>
      <c r="CC22" s="14">
        <f t="shared" si="13"/>
        <v>0.1218398915961827</v>
      </c>
      <c r="CD22" s="10">
        <f>+'SECURED LOANS'!BL80+'RETAIL CREDIT'!CD23+'UNSECURED LOANS'!CE23+'CAR FINANCE'!CB24</f>
        <v>4497</v>
      </c>
      <c r="CE22" s="14">
        <f t="shared" si="14"/>
        <v>0.08197528163622443</v>
      </c>
      <c r="CF22" s="14"/>
      <c r="CG22" s="10"/>
      <c r="CH22" s="14"/>
      <c r="CI22" s="9">
        <f>+'SECURED LOANS'!BO80+'RETAIL CREDIT'!CI23+'UNSECURED LOANS'!CJ23+'CAR FINANCE'!CG24</f>
        <v>24453317.939999986</v>
      </c>
      <c r="CJ22" s="14">
        <f t="shared" si="15"/>
        <v>0.10940051155131285</v>
      </c>
      <c r="CK22" s="10">
        <f>+'SECURED LOANS'!BQ80+'RETAIL CREDIT'!CK23+'UNSECURED LOANS'!CL23+'CAR FINANCE'!CI24</f>
        <v>3546</v>
      </c>
      <c r="CL22" s="14">
        <f t="shared" si="16"/>
        <v>0.07532500637267397</v>
      </c>
      <c r="CM22" s="14"/>
      <c r="CN22" s="10"/>
      <c r="CO22" s="9">
        <f>+'SECURED LOANS'!BT80+'RETAIL CREDIT'!CP23+'UNSECURED LOANS'!CQ23+'CAR FINANCE'!CN24</f>
        <v>17372238.75000001</v>
      </c>
      <c r="CP22" s="14">
        <f t="shared" si="17"/>
        <v>0.08160911418934286</v>
      </c>
      <c r="CQ22" s="10">
        <f>+'SECURED LOANS'!BV80+'RETAIL CREDIT'!CR23+'UNSECURED LOANS'!CS23+'CAR FINANCE'!CP24</f>
        <v>2308</v>
      </c>
      <c r="CR22" s="14">
        <f t="shared" si="18"/>
        <v>0.05733164418610428</v>
      </c>
      <c r="CS22" s="34"/>
      <c r="CT22" s="34"/>
      <c r="CU22" s="100">
        <f>+'SECURED LOANS'!BY80+'RETAIL CREDIT'!CW23+'UNSECURED LOANS'!CX23+'CAR FINANCE'!CU24</f>
        <v>21035860.870000042</v>
      </c>
      <c r="CV22" s="14">
        <f t="shared" si="19"/>
        <v>0.08742652371024415</v>
      </c>
      <c r="CW22" s="10">
        <f>+'SECURED LOANS'!CA80+'RETAIL CREDIT'!CY23+'UNSECURED LOANS'!CZ23+'CAR FINANCE'!CW24</f>
        <v>2487</v>
      </c>
      <c r="CX22" s="14">
        <f t="shared" si="20"/>
        <v>0.056904244365633225</v>
      </c>
      <c r="CY22" s="34"/>
      <c r="CZ22" s="34"/>
    </row>
    <row r="23" spans="1:104" ht="12.75">
      <c r="A23" s="8" t="s">
        <v>30</v>
      </c>
      <c r="B23" s="8"/>
      <c r="C23" s="8"/>
      <c r="D23" s="9">
        <f>+'SECURED LOANS'!D81+'RETAIL CREDIT'!D24+'UNSECURED LOANS'!D24+'CAR FINANCE'!D25</f>
        <v>40165593.91000001</v>
      </c>
      <c r="E23" s="14">
        <f t="shared" si="21"/>
        <v>0.1970845087477049</v>
      </c>
      <c r="F23" s="10">
        <f>+'SECURED LOANS'!F81+'RETAIL CREDIT'!F24+'UNSECURED LOANS'!F24+'CAR FINANCE'!F25</f>
        <v>5628</v>
      </c>
      <c r="G23" s="14">
        <f t="shared" si="22"/>
        <v>0.055739328513419825</v>
      </c>
      <c r="H23" s="14"/>
      <c r="I23" s="9">
        <v>38261105.49</v>
      </c>
      <c r="J23" s="14">
        <v>0.219</v>
      </c>
      <c r="K23" s="10">
        <v>4985</v>
      </c>
      <c r="L23" s="14">
        <v>0.0612</v>
      </c>
      <c r="M23" s="14"/>
      <c r="N23" s="10"/>
      <c r="O23" s="14"/>
      <c r="P23" s="9">
        <f>+'SECURED LOANS'!Q81+'RETAIL CREDIT'!Q24+'UNSECURED LOANS'!R24+'CAR FINANCE'!P25</f>
        <v>51884296.37999999</v>
      </c>
      <c r="Q23" s="14">
        <f t="shared" si="23"/>
        <v>0.2306042620882417</v>
      </c>
      <c r="R23" s="10">
        <f>+'SECURED LOANS'!S81+'RETAIL CREDIT'!S24+'UNSECURED LOANS'!T24+'CAR FINANCE'!R25</f>
        <v>6841</v>
      </c>
      <c r="S23" s="14">
        <f t="shared" si="24"/>
        <v>0.07617785597363116</v>
      </c>
      <c r="T23" s="14"/>
      <c r="U23" s="10"/>
      <c r="V23" s="14"/>
      <c r="W23" s="9">
        <f>+'SECURED LOANS'!V81+'RETAIL CREDIT'!X24+'UNSECURED LOANS'!Y24+'CAR FINANCE'!W25</f>
        <v>51077328.120000094</v>
      </c>
      <c r="X23" s="14">
        <f t="shared" si="25"/>
        <v>0.22701762156096184</v>
      </c>
      <c r="Y23" s="10">
        <f>+'SECURED LOANS'!X81+'RETAIL CREDIT'!Z24+'UNSECURED LOANS'!AA24+'CAR FINANCE'!Y25</f>
        <v>6667</v>
      </c>
      <c r="Z23" s="14">
        <f t="shared" si="0"/>
        <v>0.07996689536055271</v>
      </c>
      <c r="AA23" s="14"/>
      <c r="AB23" s="10"/>
      <c r="AC23" s="14"/>
      <c r="AD23" s="34"/>
      <c r="AE23" s="9">
        <f>+'SECURED LOANS'!AA81+'RETAIL CREDIT'!AE24+'UNSECURED LOANS'!AF24+'CAR FINANCE'!AD25</f>
        <v>45852172.07000004</v>
      </c>
      <c r="AF23" s="14">
        <f t="shared" si="1"/>
        <v>0.19732280239644484</v>
      </c>
      <c r="AG23" s="10">
        <f>+'SECURED LOANS'!AC81+'RETAIL CREDIT'!AG24+'UNSECURED LOANS'!AH24+'CAR FINANCE'!AF25</f>
        <v>5958</v>
      </c>
      <c r="AH23" s="14">
        <f t="shared" si="2"/>
        <v>0.07793328973185089</v>
      </c>
      <c r="AI23" s="14"/>
      <c r="AJ23" s="10"/>
      <c r="AK23" s="14"/>
      <c r="AL23" s="9">
        <f>+'SECURED LOANS'!AF81+'RETAIL CREDIT'!AL24+'UNSECURED LOANS'!AM24+'CAR FINANCE'!AK25</f>
        <v>37871298.61</v>
      </c>
      <c r="AM23" s="14">
        <f t="shared" si="3"/>
        <v>0.1657185293674332</v>
      </c>
      <c r="AN23" s="10">
        <f>+'SECURED LOANS'!AH81+'RETAIL CREDIT'!AN24+'UNSECURED LOANS'!AO24+'CAR FINANCE'!AM25</f>
        <v>5063</v>
      </c>
      <c r="AO23" s="14">
        <f t="shared" si="4"/>
        <v>0.06823542096254666</v>
      </c>
      <c r="AP23" s="14"/>
      <c r="AQ23" s="10"/>
      <c r="AR23" s="14"/>
      <c r="AS23" s="9">
        <f>+'SECURED LOANS'!AK81+'RETAIL CREDIT'!AS24+'UNSECURED LOANS'!AT24+'CAR FINANCE'!AR25</f>
        <v>35775634.97999995</v>
      </c>
      <c r="AT23" s="14">
        <f t="shared" si="26"/>
        <v>0.15833318951417472</v>
      </c>
      <c r="AU23" s="10">
        <f>+'SECURED LOANS'!AM81+'RETAIL CREDIT'!AU24+'UNSECURED LOANS'!AV24+'CAR FINANCE'!AT25</f>
        <v>4895</v>
      </c>
      <c r="AV23" s="14">
        <f t="shared" si="5"/>
        <v>0.06949275259444342</v>
      </c>
      <c r="AW23" s="14"/>
      <c r="AX23" s="10"/>
      <c r="AY23" s="14"/>
      <c r="AZ23" s="9">
        <f>+'SECURED LOANS'!AP81+'RETAIL CREDIT'!AZ24+'UNSECURED LOANS'!BA24+'CAR FINANCE'!AY25</f>
        <v>34374557.69999994</v>
      </c>
      <c r="BA23" s="14">
        <f t="shared" si="27"/>
        <v>0.13012162695602614</v>
      </c>
      <c r="BB23" s="10">
        <f>+'SECURED LOANS'!AR81+'RETAIL CREDIT'!BB24+'UNSECURED LOANS'!BC24+'CAR FINANCE'!BA25</f>
        <v>4737</v>
      </c>
      <c r="BC23" s="14">
        <f t="shared" si="6"/>
        <v>0.06433606323595323</v>
      </c>
      <c r="BD23" s="14"/>
      <c r="BE23" s="10"/>
      <c r="BF23" s="14"/>
      <c r="BG23" s="9">
        <f>+'SECURED LOANS'!AU81+'RETAIL CREDIT'!BG24+'UNSECURED LOANS'!BH24+'CAR FINANCE'!BE25</f>
        <v>23187523.909999993</v>
      </c>
      <c r="BH23" s="14">
        <f t="shared" si="7"/>
        <v>0.09799657661624764</v>
      </c>
      <c r="BI23" s="10">
        <f>+'SECURED LOANS'!AW81+'RETAIL CREDIT'!BI24+'UNSECURED LOANS'!BJ24+'CAR FINANCE'!BG25</f>
        <v>3265</v>
      </c>
      <c r="BJ23" s="14">
        <f t="shared" si="8"/>
        <v>0.05059113376822598</v>
      </c>
      <c r="BK23" s="14"/>
      <c r="BL23" s="10"/>
      <c r="BM23" s="14"/>
      <c r="BN23" s="9">
        <f>+'SECURED LOANS'!AZ81+'RETAIL CREDIT'!BN24+'UNSECURED LOANS'!BO24+'CAR FINANCE'!BL25</f>
        <v>12371880.09</v>
      </c>
      <c r="BO23" s="14">
        <f t="shared" si="9"/>
        <v>0.05698458812170765</v>
      </c>
      <c r="BP23" s="10">
        <f>+'SECURED LOANS'!BB81+'RETAIL CREDIT'!BP24+'UNSECURED LOANS'!BQ24+'CAR FINANCE'!BN25</f>
        <v>1775</v>
      </c>
      <c r="BQ23" s="14">
        <f t="shared" si="10"/>
        <v>0.030523980671011676</v>
      </c>
      <c r="BR23" s="14"/>
      <c r="BS23" s="10"/>
      <c r="BT23" s="14"/>
      <c r="BU23" s="9">
        <f>+'SECURED LOANS'!BE81+'RETAIL CREDIT'!BU24+'UNSECURED LOANS'!BV24+'CAR FINANCE'!BS25</f>
        <v>10357672.35</v>
      </c>
      <c r="BV23" s="14">
        <f t="shared" si="11"/>
        <v>0.04462873827638501</v>
      </c>
      <c r="BW23" s="10">
        <f>+'SECURED LOANS'!BG81+'RETAIL CREDIT'!BW24+'UNSECURED LOANS'!BX24+'CAR FINANCE'!BU25</f>
        <v>1362</v>
      </c>
      <c r="BX23" s="14">
        <f t="shared" si="12"/>
        <v>0.02439242795995487</v>
      </c>
      <c r="BY23" s="14"/>
      <c r="BZ23" s="10"/>
      <c r="CA23" s="14"/>
      <c r="CB23" s="9">
        <f>+'SECURED LOANS'!BJ81+'RETAIL CREDIT'!CB24+'UNSECURED LOANS'!CC24+'CAR FINANCE'!BZ25</f>
        <v>8913149.81</v>
      </c>
      <c r="CC23" s="14">
        <f t="shared" si="13"/>
        <v>0.03828071524477993</v>
      </c>
      <c r="CD23" s="10">
        <f>+'SECURED LOANS'!BL81+'RETAIL CREDIT'!CD24+'UNSECURED LOANS'!CE24+'CAR FINANCE'!CB25</f>
        <v>1179</v>
      </c>
      <c r="CE23" s="14">
        <f t="shared" si="14"/>
        <v>0.021491851689817345</v>
      </c>
      <c r="CF23" s="14"/>
      <c r="CG23" s="10"/>
      <c r="CH23" s="14"/>
      <c r="CI23" s="9">
        <f>+'SECURED LOANS'!BO81+'RETAIL CREDIT'!CI24+'UNSECURED LOANS'!CJ24+'CAR FINANCE'!CG25</f>
        <v>8549248.52</v>
      </c>
      <c r="CJ23" s="14">
        <f t="shared" si="15"/>
        <v>0.038248067757602006</v>
      </c>
      <c r="CK23" s="10">
        <f>+'SECURED LOANS'!BQ81+'RETAIL CREDIT'!CK24+'UNSECURED LOANS'!CL24+'CAR FINANCE'!CI25</f>
        <v>1078</v>
      </c>
      <c r="CL23" s="14">
        <f t="shared" si="16"/>
        <v>0.02289914181323817</v>
      </c>
      <c r="CM23" s="14"/>
      <c r="CN23" s="10"/>
      <c r="CO23" s="9">
        <f>+'SECURED LOANS'!BT81+'RETAIL CREDIT'!CP24+'UNSECURED LOANS'!CQ24+'CAR FINANCE'!CN25</f>
        <v>6856873.2</v>
      </c>
      <c r="CP23" s="14">
        <f t="shared" si="17"/>
        <v>0.03221135491018073</v>
      </c>
      <c r="CQ23" s="10">
        <f>+'SECURED LOANS'!BV81+'RETAIL CREDIT'!CR24+'UNSECURED LOANS'!CS24+'CAR FINANCE'!CP25</f>
        <v>793</v>
      </c>
      <c r="CR23" s="14">
        <f t="shared" si="18"/>
        <v>0.019698437538813125</v>
      </c>
      <c r="CS23" s="34"/>
      <c r="CT23" s="34"/>
      <c r="CU23" s="100">
        <f>+'SECURED LOANS'!BY81+'RETAIL CREDIT'!CW24+'UNSECURED LOANS'!CX24+'CAR FINANCE'!CU25</f>
        <v>7573588.470000001</v>
      </c>
      <c r="CV23" s="14">
        <f t="shared" si="19"/>
        <v>0.03147636866568063</v>
      </c>
      <c r="CW23" s="10">
        <f>+'SECURED LOANS'!CA81+'RETAIL CREDIT'!CY24+'UNSECURED LOANS'!CZ24+'CAR FINANCE'!CW25</f>
        <v>765</v>
      </c>
      <c r="CX23" s="14">
        <f t="shared" si="20"/>
        <v>0.017503718110056056</v>
      </c>
      <c r="CY23" s="34"/>
      <c r="CZ23" s="34"/>
    </row>
    <row r="24" spans="1:104" ht="12.75">
      <c r="A24" s="8" t="s">
        <v>83</v>
      </c>
      <c r="B24" s="8"/>
      <c r="C24" s="8"/>
      <c r="D24" s="9">
        <f>+'SECURED LOANS'!D82+'RETAIL CREDIT'!D25+'UNSECURED LOANS'!D25</f>
        <v>18561817.95000001</v>
      </c>
      <c r="E24" s="14">
        <f t="shared" si="21"/>
        <v>0.09107911563158265</v>
      </c>
      <c r="F24" s="10">
        <f>+'SECURED LOANS'!F82+'RETAIL CREDIT'!F25+'UNSECURED LOANS'!F25</f>
        <v>1801</v>
      </c>
      <c r="G24" s="14">
        <f t="shared" si="22"/>
        <v>0.017836981281568784</v>
      </c>
      <c r="H24" s="14"/>
      <c r="I24" s="9">
        <v>13515539.08</v>
      </c>
      <c r="J24" s="14">
        <v>0.0774</v>
      </c>
      <c r="K24" s="10">
        <v>1218</v>
      </c>
      <c r="L24" s="14">
        <v>0.015</v>
      </c>
      <c r="M24" s="14"/>
      <c r="N24" s="10"/>
      <c r="O24" s="14"/>
      <c r="P24" s="9">
        <f>+'SECURED LOANS'!Q82+'RETAIL CREDIT'!Q25+'UNSECURED LOANS'!R25</f>
        <v>9729766.969999993</v>
      </c>
      <c r="Q24" s="14">
        <f t="shared" si="23"/>
        <v>0.0432447944552312</v>
      </c>
      <c r="R24" s="10">
        <f>+'SECURED LOANS'!S82+'RETAIL CREDIT'!S25+'UNSECURED LOANS'!T25</f>
        <v>879</v>
      </c>
      <c r="S24" s="14">
        <f t="shared" si="24"/>
        <v>0.009788091711858179</v>
      </c>
      <c r="T24" s="14"/>
      <c r="U24" s="10"/>
      <c r="V24" s="14"/>
      <c r="W24" s="9">
        <f>+'SECURED LOANS'!V82+'RETAIL CREDIT'!X25+'UNSECURED LOANS'!Y25</f>
        <v>7303159.569999999</v>
      </c>
      <c r="X24" s="14">
        <f t="shared" si="25"/>
        <v>0.03245952708345336</v>
      </c>
      <c r="Y24" s="10">
        <f>+'SECURED LOANS'!X82+'RETAIL CREDIT'!Z25+'UNSECURED LOANS'!AA25</f>
        <v>667</v>
      </c>
      <c r="Z24" s="14">
        <f t="shared" si="0"/>
        <v>0.008000287866429976</v>
      </c>
      <c r="AA24" s="14"/>
      <c r="AB24" s="10"/>
      <c r="AC24" s="14"/>
      <c r="AD24" s="34"/>
      <c r="AE24" s="9">
        <f>+'SECURED LOANS'!AA82+'RETAIL CREDIT'!AE25+'UNSECURED LOANS'!AF25</f>
        <v>4891877.3</v>
      </c>
      <c r="AF24" s="14">
        <f t="shared" si="1"/>
        <v>0.021051978439361928</v>
      </c>
      <c r="AG24" s="10">
        <f>+'SECURED LOANS'!AC82+'RETAIL CREDIT'!AG25+'UNSECURED LOANS'!AH25</f>
        <v>447</v>
      </c>
      <c r="AH24" s="14">
        <f t="shared" si="2"/>
        <v>0.005846958796599085</v>
      </c>
      <c r="AI24" s="14"/>
      <c r="AJ24" s="10"/>
      <c r="AK24" s="14"/>
      <c r="AL24" s="9">
        <f>+'SECURED LOANS'!AF82+'RETAIL CREDIT'!AL25+'UNSECURED LOANS'!AM25</f>
        <v>3790563.1399999997</v>
      </c>
      <c r="AM24" s="14">
        <f t="shared" si="3"/>
        <v>0.016586876396927432</v>
      </c>
      <c r="AN24" s="10">
        <f>+'SECURED LOANS'!AH82+'RETAIL CREDIT'!AN25+'UNSECURED LOANS'!AO25</f>
        <v>347</v>
      </c>
      <c r="AO24" s="14">
        <f t="shared" si="4"/>
        <v>0.00467661289235704</v>
      </c>
      <c r="AP24" s="14"/>
      <c r="AQ24" s="10"/>
      <c r="AR24" s="14"/>
      <c r="AS24" s="9">
        <f>+'SECURED LOANS'!AK82+'RETAIL CREDIT'!AS25+'UNSECURED LOANS'!AT25</f>
        <v>3573529.92</v>
      </c>
      <c r="AT24" s="14">
        <f t="shared" si="26"/>
        <v>0.015815467436825194</v>
      </c>
      <c r="AU24" s="10">
        <f>+'SECURED LOANS'!AM82+'RETAIL CREDIT'!AU25+'UNSECURED LOANS'!AV25</f>
        <v>328</v>
      </c>
      <c r="AV24" s="14">
        <f t="shared" si="5"/>
        <v>0.00465651130765627</v>
      </c>
      <c r="AW24" s="14"/>
      <c r="AX24" s="10"/>
      <c r="AY24" s="14"/>
      <c r="AZ24" s="9">
        <f>+'SECURED LOANS'!AP82+'RETAIL CREDIT'!AZ25+'UNSECURED LOANS'!BA25</f>
        <v>4020070.13</v>
      </c>
      <c r="BA24" s="14">
        <f t="shared" si="27"/>
        <v>0.015217594081011967</v>
      </c>
      <c r="BB24" s="10">
        <f>+'SECURED LOANS'!AR82+'RETAIL CREDIT'!BB25+'UNSECURED LOANS'!BC25</f>
        <v>361</v>
      </c>
      <c r="BC24" s="14">
        <f t="shared" si="6"/>
        <v>0.004902959431745644</v>
      </c>
      <c r="BD24" s="14"/>
      <c r="BE24" s="10"/>
      <c r="BF24" s="14"/>
      <c r="BG24" s="9">
        <f>+'SECURED LOANS'!AU82+'RETAIL CREDIT'!BG25+'UNSECURED LOANS'!BH25</f>
        <v>3544884.2199999997</v>
      </c>
      <c r="BH24" s="14">
        <f t="shared" si="7"/>
        <v>0.014981613362828326</v>
      </c>
      <c r="BI24" s="10">
        <f>+'SECURED LOANS'!AW82+'RETAIL CREDIT'!BI25+'UNSECURED LOANS'!BJ25</f>
        <v>334</v>
      </c>
      <c r="BJ24" s="14">
        <f t="shared" si="8"/>
        <v>0.005175325782109488</v>
      </c>
      <c r="BK24" s="14"/>
      <c r="BL24" s="10"/>
      <c r="BM24" s="14"/>
      <c r="BN24" s="9">
        <f>+'SECURED LOANS'!AZ82+'RETAIL CREDIT'!BN25+'UNSECURED LOANS'!BO25</f>
        <v>2734415.77</v>
      </c>
      <c r="BO24" s="14">
        <f t="shared" si="9"/>
        <v>0.012594654593597186</v>
      </c>
      <c r="BP24" s="10">
        <f>+'SECURED LOANS'!BB82+'RETAIL CREDIT'!BP25+'UNSECURED LOANS'!BQ25</f>
        <v>258</v>
      </c>
      <c r="BQ24" s="14">
        <f t="shared" si="10"/>
        <v>0.004436725077814655</v>
      </c>
      <c r="BR24" s="14"/>
      <c r="BS24" s="10"/>
      <c r="BT24" s="14"/>
      <c r="BU24" s="9">
        <f>+'SECURED LOANS'!BE82+'RETAIL CREDIT'!BU25+'UNSECURED LOANS'!BV25</f>
        <v>2925257.13</v>
      </c>
      <c r="BV24" s="14">
        <f t="shared" si="11"/>
        <v>0.012604234854551965</v>
      </c>
      <c r="BW24" s="10">
        <f>+'SECURED LOANS'!BG82+'RETAIL CREDIT'!BW25+'UNSECURED LOANS'!BX25</f>
        <v>259</v>
      </c>
      <c r="BX24" s="14">
        <f t="shared" si="12"/>
        <v>0.004638501352150008</v>
      </c>
      <c r="BY24" s="14"/>
      <c r="BZ24" s="10"/>
      <c r="CA24" s="14"/>
      <c r="CB24" s="9">
        <f>+'SECURED LOANS'!BJ82+'RETAIL CREDIT'!CB25+'UNSECURED LOANS'!CC25</f>
        <v>2311955.69</v>
      </c>
      <c r="CC24" s="14">
        <f t="shared" si="13"/>
        <v>0.009929522033629849</v>
      </c>
      <c r="CD24" s="10">
        <f>+'SECURED LOANS'!BL82+'RETAIL CREDIT'!CD25+'UNSECURED LOANS'!CE25</f>
        <v>211</v>
      </c>
      <c r="CE24" s="14">
        <f t="shared" si="14"/>
        <v>0.003846294068321849</v>
      </c>
      <c r="CF24" s="14"/>
      <c r="CG24" s="10"/>
      <c r="CH24" s="14"/>
      <c r="CI24" s="9">
        <f>+'SECURED LOANS'!BO82+'RETAIL CREDIT'!CI25+'UNSECURED LOANS'!CJ25</f>
        <v>1913605.42</v>
      </c>
      <c r="CJ24" s="14">
        <f t="shared" si="15"/>
        <v>0.008561186353894232</v>
      </c>
      <c r="CK24" s="10">
        <f>+'SECURED LOANS'!BQ82+'RETAIL CREDIT'!CK25+'UNSECURED LOANS'!CL25</f>
        <v>174</v>
      </c>
      <c r="CL24" s="14">
        <f t="shared" si="16"/>
        <v>0.0036961509049197043</v>
      </c>
      <c r="CM24" s="14"/>
      <c r="CN24" s="10"/>
      <c r="CO24" s="9">
        <f>+'SECURED LOANS'!BT82+'RETAIL CREDIT'!CP25+'UNSECURED LOANS'!CQ25</f>
        <v>2040620.15</v>
      </c>
      <c r="CP24" s="14">
        <f t="shared" si="17"/>
        <v>0.009586168209806801</v>
      </c>
      <c r="CQ24" s="10">
        <f>+'SECURED LOANS'!BV82+'RETAIL CREDIT'!CR25+'UNSECURED LOANS'!CS25</f>
        <v>174</v>
      </c>
      <c r="CR24" s="14">
        <f t="shared" si="18"/>
        <v>0.0043222296743423505</v>
      </c>
      <c r="CS24" s="34"/>
      <c r="CT24" s="34"/>
      <c r="CU24" s="100">
        <f>+'SECURED LOANS'!BY82+'RETAIL CREDIT'!CW25+'UNSECURED LOANS'!CX25</f>
        <v>1878578</v>
      </c>
      <c r="CV24" s="14">
        <f t="shared" si="19"/>
        <v>0.007807502867294952</v>
      </c>
      <c r="CW24" s="10">
        <f>+'SECURED LOANS'!CA82+'RETAIL CREDIT'!CY25+'UNSECURED LOANS'!CZ25</f>
        <v>153</v>
      </c>
      <c r="CX24" s="14">
        <f t="shared" si="20"/>
        <v>0.0035007436220112114</v>
      </c>
      <c r="CY24" s="34"/>
      <c r="CZ24" s="34"/>
    </row>
    <row r="25" spans="1:104" ht="12.75">
      <c r="A25" s="8" t="s">
        <v>84</v>
      </c>
      <c r="B25" s="8"/>
      <c r="C25" s="8"/>
      <c r="D25" s="9">
        <f>+'SECURED LOANS'!D83+'RETAIL CREDIT'!D26+'UNSECURED LOANS'!D26</f>
        <v>5070319.22</v>
      </c>
      <c r="E25" s="14">
        <f t="shared" si="21"/>
        <v>0.024879038883549424</v>
      </c>
      <c r="F25" s="10">
        <f>+'SECURED LOANS'!F83+'RETAIL CREDIT'!F26+'UNSECURED LOANS'!F26</f>
        <v>460</v>
      </c>
      <c r="G25" s="14">
        <f t="shared" si="22"/>
        <v>0.004555808656036446</v>
      </c>
      <c r="H25" s="14"/>
      <c r="I25" s="9">
        <v>3775113.42</v>
      </c>
      <c r="J25" s="14">
        <v>0.0216</v>
      </c>
      <c r="K25" s="10">
        <v>305</v>
      </c>
      <c r="L25" s="14">
        <v>0.0037</v>
      </c>
      <c r="M25" s="14"/>
      <c r="N25" s="10"/>
      <c r="O25" s="14"/>
      <c r="P25" s="9">
        <f>+'SECURED LOANS'!Q83+'RETAIL CREDIT'!Q26+'UNSECURED LOANS'!R26</f>
        <v>4710489.7</v>
      </c>
      <c r="Q25" s="14">
        <f t="shared" si="23"/>
        <v>0.020936180639070726</v>
      </c>
      <c r="R25" s="10">
        <f>+'SECURED LOANS'!S83+'RETAIL CREDIT'!S26+'UNSECURED LOANS'!T26</f>
        <v>375</v>
      </c>
      <c r="S25" s="14">
        <f t="shared" si="24"/>
        <v>0.004175807044308096</v>
      </c>
      <c r="T25" s="14"/>
      <c r="U25" s="10"/>
      <c r="V25" s="14"/>
      <c r="W25" s="9">
        <f>+'SECURED LOANS'!V83+'RETAIL CREDIT'!X26+'UNSECURED LOANS'!Y26</f>
        <v>5010407.7</v>
      </c>
      <c r="X25" s="14">
        <f t="shared" si="25"/>
        <v>0.02226919224185776</v>
      </c>
      <c r="Y25" s="10">
        <f>+'SECURED LOANS'!X83+'RETAIL CREDIT'!Z26+'UNSECURED LOANS'!AA26</f>
        <v>408</v>
      </c>
      <c r="Z25" s="14">
        <f t="shared" si="0"/>
        <v>0.004893729309600346</v>
      </c>
      <c r="AA25" s="14"/>
      <c r="AB25" s="10"/>
      <c r="AC25" s="14"/>
      <c r="AD25" s="34"/>
      <c r="AE25" s="9">
        <f>+'SECURED LOANS'!AA83+'RETAIL CREDIT'!AE26+'UNSECURED LOANS'!AF26</f>
        <v>5014593.66</v>
      </c>
      <c r="AF25" s="14">
        <f t="shared" si="1"/>
        <v>0.021580082888113535</v>
      </c>
      <c r="AG25" s="10">
        <f>+'SECURED LOANS'!AC83+'RETAIL CREDIT'!AG26+'UNSECURED LOANS'!AH26</f>
        <v>419</v>
      </c>
      <c r="AH25" s="14">
        <f t="shared" si="2"/>
        <v>0.005480706344015696</v>
      </c>
      <c r="AI25" s="14"/>
      <c r="AJ25" s="10"/>
      <c r="AK25" s="14"/>
      <c r="AL25" s="9">
        <f>+'SECURED LOANS'!AF83+'RETAIL CREDIT'!AL26+'UNSECURED LOANS'!AM26</f>
        <v>4039358.75</v>
      </c>
      <c r="AM25" s="14">
        <f t="shared" si="3"/>
        <v>0.017675564773496244</v>
      </c>
      <c r="AN25" s="10">
        <f>+'SECURED LOANS'!AH83+'RETAIL CREDIT'!AN26+'UNSECURED LOANS'!AO26</f>
        <v>351</v>
      </c>
      <c r="AO25" s="14">
        <f t="shared" si="4"/>
        <v>0.004730521974689685</v>
      </c>
      <c r="AP25" s="14"/>
      <c r="AQ25" s="10"/>
      <c r="AR25" s="14"/>
      <c r="AS25" s="9">
        <f>+'SECURED LOANS'!AK83+'RETAIL CREDIT'!AS26+'UNSECURED LOANS'!AT26</f>
        <v>2907091.73</v>
      </c>
      <c r="AT25" s="14">
        <f t="shared" si="26"/>
        <v>0.01286599402298521</v>
      </c>
      <c r="AU25" s="10">
        <f>+'SECURED LOANS'!AM83+'RETAIL CREDIT'!AU26+'UNSECURED LOANS'!AV26</f>
        <v>269</v>
      </c>
      <c r="AV25" s="14">
        <f t="shared" si="5"/>
        <v>0.0038189071395107826</v>
      </c>
      <c r="AW25" s="14"/>
      <c r="AX25" s="10"/>
      <c r="AY25" s="14"/>
      <c r="AZ25" s="9">
        <f>+'SECURED LOANS'!AP83+'RETAIL CREDIT'!AZ26+'UNSECURED LOANS'!BA26</f>
        <v>3565751.92</v>
      </c>
      <c r="BA25" s="14">
        <f t="shared" si="27"/>
        <v>0.013497815599587328</v>
      </c>
      <c r="BB25" s="10">
        <f>+'SECURED LOANS'!AR83+'RETAIL CREDIT'!BB26+'UNSECURED LOANS'!BC26</f>
        <v>302</v>
      </c>
      <c r="BC25" s="14">
        <f t="shared" si="6"/>
        <v>0.004101644732374472</v>
      </c>
      <c r="BD25" s="14"/>
      <c r="BE25" s="10"/>
      <c r="BF25" s="14"/>
      <c r="BG25" s="9">
        <f>+'SECURED LOANS'!AU83+'RETAIL CREDIT'!BG26+'UNSECURED LOANS'!BH26</f>
        <v>2896444.4299999997</v>
      </c>
      <c r="BH25" s="14">
        <f t="shared" si="7"/>
        <v>0.01224113620759599</v>
      </c>
      <c r="BI25" s="10">
        <f>+'SECURED LOANS'!AW83+'RETAIL CREDIT'!BI26+'UNSECURED LOANS'!BJ26</f>
        <v>240</v>
      </c>
      <c r="BJ25" s="14">
        <f t="shared" si="8"/>
        <v>0.00371879696918047</v>
      </c>
      <c r="BK25" s="14"/>
      <c r="BL25" s="10"/>
      <c r="BM25" s="14"/>
      <c r="BN25" s="9">
        <f>+'SECURED LOANS'!AZ83+'RETAIL CREDIT'!BN26+'UNSECURED LOANS'!BO26</f>
        <v>2472820.15</v>
      </c>
      <c r="BO25" s="14">
        <f t="shared" si="9"/>
        <v>0.011389751333001265</v>
      </c>
      <c r="BP25" s="10">
        <f>+'SECURED LOANS'!BB83+'RETAIL CREDIT'!BP26+'UNSECURED LOANS'!BQ26</f>
        <v>203</v>
      </c>
      <c r="BQ25" s="14">
        <f t="shared" si="10"/>
        <v>0.0034909115922340116</v>
      </c>
      <c r="BR25" s="14"/>
      <c r="BS25" s="10"/>
      <c r="BT25" s="14"/>
      <c r="BU25" s="9">
        <f>+'SECURED LOANS'!BE83+'RETAIL CREDIT'!BU26+'UNSECURED LOANS'!BV26</f>
        <v>2299873.17</v>
      </c>
      <c r="BV25" s="14">
        <f t="shared" si="11"/>
        <v>0.009909604620077592</v>
      </c>
      <c r="BW25" s="10">
        <f>+'SECURED LOANS'!BG83+'RETAIL CREDIT'!BW26+'UNSECURED LOANS'!BX26</f>
        <v>173</v>
      </c>
      <c r="BX25" s="14">
        <f t="shared" si="12"/>
        <v>0.0030983039919766464</v>
      </c>
      <c r="BY25" s="14"/>
      <c r="BZ25" s="10"/>
      <c r="CA25" s="14"/>
      <c r="CB25" s="9">
        <f>+'SECURED LOANS'!BJ83+'RETAIL CREDIT'!CB26+'UNSECURED LOANS'!CC26</f>
        <v>2575577.31</v>
      </c>
      <c r="CC25" s="14">
        <f t="shared" si="13"/>
        <v>0.011061739530553933</v>
      </c>
      <c r="CD25" s="10">
        <f>+'SECURED LOANS'!BL83+'RETAIL CREDIT'!CD26+'UNSECURED LOANS'!CE26</f>
        <v>184</v>
      </c>
      <c r="CE25" s="14">
        <f t="shared" si="14"/>
        <v>0.0033541142586313755</v>
      </c>
      <c r="CF25" s="14"/>
      <c r="CG25" s="10"/>
      <c r="CH25" s="14"/>
      <c r="CI25" s="9">
        <f>+'SECURED LOANS'!BO83+'RETAIL CREDIT'!CI26+'UNSECURED LOANS'!CJ26</f>
        <v>2660470.62</v>
      </c>
      <c r="CJ25" s="14">
        <f t="shared" si="15"/>
        <v>0.011902550300511025</v>
      </c>
      <c r="CK25" s="10">
        <f>+'SECURED LOANS'!BQ83+'RETAIL CREDIT'!CK26+'UNSECURED LOANS'!CL26</f>
        <v>200</v>
      </c>
      <c r="CL25" s="14">
        <f t="shared" si="16"/>
        <v>0.00424844931599966</v>
      </c>
      <c r="CM25" s="14"/>
      <c r="CN25" s="10"/>
      <c r="CO25" s="9">
        <f>+'SECURED LOANS'!BT83+'RETAIL CREDIT'!CP26+'UNSECURED LOANS'!CQ26</f>
        <v>4531065.84</v>
      </c>
      <c r="CP25" s="14">
        <f t="shared" si="17"/>
        <v>0.021285470160602674</v>
      </c>
      <c r="CQ25" s="10">
        <f>+'SECURED LOANS'!BV83+'RETAIL CREDIT'!CR26+'UNSECURED LOANS'!CS26</f>
        <v>390</v>
      </c>
      <c r="CR25" s="14">
        <f t="shared" si="18"/>
        <v>0.009687756166629405</v>
      </c>
      <c r="CS25" s="34"/>
      <c r="CT25" s="34"/>
      <c r="CU25" s="100">
        <f>+'SECURED LOANS'!BY83+'RETAIL CREDIT'!CW26+'UNSECURED LOANS'!CX26</f>
        <v>6631027.05</v>
      </c>
      <c r="CV25" s="14">
        <f t="shared" si="19"/>
        <v>0.027559016823355424</v>
      </c>
      <c r="CW25" s="10">
        <f>+'SECURED LOANS'!CA83+'RETAIL CREDIT'!CY26+'UNSECURED LOANS'!CZ26</f>
        <v>642</v>
      </c>
      <c r="CX25" s="14">
        <f t="shared" si="20"/>
        <v>0.01468939480608626</v>
      </c>
      <c r="CY25" s="34"/>
      <c r="CZ25" s="34"/>
    </row>
    <row r="26" spans="1:104" ht="12.75">
      <c r="A26" s="8" t="s">
        <v>85</v>
      </c>
      <c r="B26" s="8"/>
      <c r="C26" s="8"/>
      <c r="D26" s="9">
        <f>+'SECURED LOANS'!D84+'RETAIL CREDIT'!D27+'UNSECURED LOANS'!D27+'CAR FINANCE'!D28</f>
        <v>1677909.26</v>
      </c>
      <c r="E26" s="14">
        <f t="shared" si="21"/>
        <v>0.00823316401025489</v>
      </c>
      <c r="F26" s="10">
        <f>+'SECURED LOANS'!F84+'RETAIL CREDIT'!F27+'UNSECURED LOANS'!F27+'CAR FINANCE'!F28</f>
        <v>137</v>
      </c>
      <c r="G26" s="14">
        <f t="shared" si="22"/>
        <v>0.0013568386649499852</v>
      </c>
      <c r="H26" s="14"/>
      <c r="I26" s="9">
        <v>1026452.79</v>
      </c>
      <c r="J26" s="14">
        <v>0.0059</v>
      </c>
      <c r="K26" s="10">
        <v>78</v>
      </c>
      <c r="L26" s="14">
        <v>0.001</v>
      </c>
      <c r="M26" s="14"/>
      <c r="N26" s="10"/>
      <c r="O26" s="14"/>
      <c r="P26" s="9">
        <f>+'SECURED LOANS'!Q84+'RETAIL CREDIT'!Q27+'UNSECURED LOANS'!R27</f>
        <v>1671497.84</v>
      </c>
      <c r="Q26" s="14">
        <f t="shared" si="23"/>
        <v>0.007429117341251492</v>
      </c>
      <c r="R26" s="10">
        <f>+'SECURED LOANS'!S84+'RETAIL CREDIT'!S27+'UNSECURED LOANS'!T27</f>
        <v>133</v>
      </c>
      <c r="S26" s="14">
        <f t="shared" si="24"/>
        <v>0.0014810195650479382</v>
      </c>
      <c r="T26" s="14"/>
      <c r="U26" s="10"/>
      <c r="V26" s="14"/>
      <c r="W26" s="9">
        <f>+'SECURED LOANS'!V84+'RETAIL CREDIT'!X27+'UNSECURED LOANS'!Y27</f>
        <v>1377220.36</v>
      </c>
      <c r="X26" s="14">
        <f t="shared" si="25"/>
        <v>0.006121175519557131</v>
      </c>
      <c r="Y26" s="10">
        <f>+'SECURED LOANS'!X84+'RETAIL CREDIT'!Z27+'UNSECURED LOANS'!AA27</f>
        <v>114</v>
      </c>
      <c r="Z26" s="14">
        <f t="shared" si="0"/>
        <v>0.0013673655423883319</v>
      </c>
      <c r="AA26" s="14"/>
      <c r="AB26" s="10"/>
      <c r="AC26" s="14"/>
      <c r="AD26" s="34"/>
      <c r="AE26" s="9">
        <f>+'SECURED LOANS'!AA84+'RETAIL CREDIT'!AE27+'UNSECURED LOANS'!AF27</f>
        <v>1201111.33</v>
      </c>
      <c r="AF26" s="14">
        <f t="shared" si="1"/>
        <v>0.005168929691354551</v>
      </c>
      <c r="AG26" s="10">
        <f>+'SECURED LOANS'!AC84+'RETAIL CREDIT'!AG27+'UNSECURED LOANS'!AH27</f>
        <v>103</v>
      </c>
      <c r="AH26" s="14">
        <f t="shared" si="2"/>
        <v>0.0013472858077174623</v>
      </c>
      <c r="AI26" s="14"/>
      <c r="AJ26" s="10"/>
      <c r="AK26" s="14"/>
      <c r="AL26" s="9">
        <f>+'SECURED LOANS'!AF84+'RETAIL CREDIT'!AL27+'UNSECURED LOANS'!AM27</f>
        <v>940253.51</v>
      </c>
      <c r="AM26" s="14">
        <f t="shared" si="3"/>
        <v>0.004114393607527977</v>
      </c>
      <c r="AN26" s="10">
        <f>+'SECURED LOANS'!AH84+'RETAIL CREDIT'!AN27+'UNSECURED LOANS'!AO27</f>
        <v>87</v>
      </c>
      <c r="AO26" s="14">
        <f t="shared" si="4"/>
        <v>0.0011725225407350503</v>
      </c>
      <c r="AP26" s="14"/>
      <c r="AQ26" s="10"/>
      <c r="AR26" s="14"/>
      <c r="AS26" s="9">
        <f>+'SECURED LOANS'!AK84+'RETAIL CREDIT'!AS27+'UNSECURED LOANS'!AT27</f>
        <v>937267.79</v>
      </c>
      <c r="AT26" s="14">
        <f t="shared" si="26"/>
        <v>0.004148091255474955</v>
      </c>
      <c r="AU26" s="10">
        <f>+'SECURED LOANS'!AM84+'RETAIL CREDIT'!AU27+'UNSECURED LOANS'!AV27</f>
        <v>90</v>
      </c>
      <c r="AV26" s="14">
        <f t="shared" si="5"/>
        <v>0.0012777012734422693</v>
      </c>
      <c r="AW26" s="14"/>
      <c r="AX26" s="10"/>
      <c r="AY26" s="14"/>
      <c r="AZ26" s="9">
        <f>+'SECURED LOANS'!AP84+'RETAIL CREDIT'!AZ27+'UNSECURED LOANS'!BA27</f>
        <v>2303460.58</v>
      </c>
      <c r="BA26" s="14">
        <f t="shared" si="27"/>
        <v>0.00871953148938036</v>
      </c>
      <c r="BB26" s="10">
        <f>+'SECURED LOANS'!AR84+'RETAIL CREDIT'!BB27+'UNSECURED LOANS'!BC27</f>
        <v>166</v>
      </c>
      <c r="BC26" s="14">
        <f t="shared" si="6"/>
        <v>0.0022545464422985507</v>
      </c>
      <c r="BD26" s="14"/>
      <c r="BE26" s="10"/>
      <c r="BF26" s="14"/>
      <c r="BG26" s="9">
        <f>+'SECURED LOANS'!AU84+'RETAIL CREDIT'!BG27+'UNSECURED LOANS'!BH27</f>
        <v>3041855.49</v>
      </c>
      <c r="BH26" s="14">
        <f t="shared" si="7"/>
        <v>0.012855681604398553</v>
      </c>
      <c r="BI26" s="10">
        <f>+'SECURED LOANS'!AW84+'RETAIL CREDIT'!BI27+'UNSECURED LOANS'!BJ27</f>
        <v>220</v>
      </c>
      <c r="BJ26" s="14">
        <f t="shared" si="8"/>
        <v>0.0034088972217487645</v>
      </c>
      <c r="BK26" s="14"/>
      <c r="BL26" s="10"/>
      <c r="BM26" s="14"/>
      <c r="BN26" s="9">
        <f>+'SECURED LOANS'!AZ84+'RETAIL CREDIT'!BN27+'UNSECURED LOANS'!BO27</f>
        <v>6265910.01</v>
      </c>
      <c r="BO26" s="14">
        <f t="shared" si="9"/>
        <v>0.028860633834961055</v>
      </c>
      <c r="BP26" s="10">
        <f>+'SECURED LOANS'!BB84+'RETAIL CREDIT'!BP27+'UNSECURED LOANS'!BQ27</f>
        <v>527</v>
      </c>
      <c r="BQ26" s="14">
        <f t="shared" si="10"/>
        <v>0.009062612852745438</v>
      </c>
      <c r="BR26" s="14"/>
      <c r="BS26" s="10"/>
      <c r="BT26" s="14"/>
      <c r="BU26" s="9">
        <f>+'SECURED LOANS'!BE84+'RETAIL CREDIT'!BU27+'UNSECURED LOANS'!BV27</f>
        <v>9711301.969999999</v>
      </c>
      <c r="BV26" s="14">
        <f t="shared" si="11"/>
        <v>0.04184368256658284</v>
      </c>
      <c r="BW26" s="10">
        <f>+'SECURED LOANS'!BG84+'RETAIL CREDIT'!BW27+'UNSECURED LOANS'!BX27</f>
        <v>884</v>
      </c>
      <c r="BX26" s="14">
        <f t="shared" si="12"/>
        <v>0.015831796120851765</v>
      </c>
      <c r="BY26" s="14"/>
      <c r="BZ26" s="10"/>
      <c r="CA26" s="14"/>
      <c r="CB26" s="9">
        <f>+'SECURED LOANS'!BJ84+'RETAIL CREDIT'!CB27+'UNSECURED LOANS'!CC27</f>
        <v>13097651.919999996</v>
      </c>
      <c r="CC26" s="14">
        <f t="shared" si="13"/>
        <v>0.05625255877133798</v>
      </c>
      <c r="CD26" s="10">
        <f>+'SECURED LOANS'!BL84+'RETAIL CREDIT'!CD27+'UNSECURED LOANS'!CE27</f>
        <v>1320</v>
      </c>
      <c r="CE26" s="14">
        <f t="shared" si="14"/>
        <v>0.024062124029312043</v>
      </c>
      <c r="CF26" s="14"/>
      <c r="CG26" s="10"/>
      <c r="CH26" s="14"/>
      <c r="CI26" s="9">
        <f>+'SECURED LOANS'!BO84+'RETAIL CREDIT'!CI27+'UNSECURED LOANS'!CJ27</f>
        <v>14778382.730000004</v>
      </c>
      <c r="CJ26" s="14">
        <f t="shared" si="15"/>
        <v>0.06611628878052729</v>
      </c>
      <c r="CK26" s="10">
        <f>+'SECURED LOANS'!BQ84+'RETAIL CREDIT'!CK27+'UNSECURED LOANS'!CL27</f>
        <v>1585</v>
      </c>
      <c r="CL26" s="14">
        <f t="shared" si="16"/>
        <v>0.03366896082929731</v>
      </c>
      <c r="CM26" s="14"/>
      <c r="CN26" s="10"/>
      <c r="CO26" s="9">
        <f>+'SECURED LOANS'!BT84+'RETAIL CREDIT'!CP27+'UNSECURED LOANS'!CQ27</f>
        <v>13721099.460000025</v>
      </c>
      <c r="CP26" s="14">
        <f t="shared" si="17"/>
        <v>0.06445725209909817</v>
      </c>
      <c r="CQ26" s="10">
        <f>+'SECURED LOANS'!BV84+'RETAIL CREDIT'!CR27+'UNSECURED LOANS'!CS27</f>
        <v>1530</v>
      </c>
      <c r="CR26" s="14">
        <f t="shared" si="18"/>
        <v>0.038005812653699976</v>
      </c>
      <c r="CS26" s="34"/>
      <c r="CT26" s="34"/>
      <c r="CU26" s="100">
        <f>+'SECURED LOANS'!BY84+'RETAIL CREDIT'!CW27+'UNSECURED LOANS'!CX27</f>
        <v>14036659.110000005</v>
      </c>
      <c r="CV26" s="14">
        <f t="shared" si="19"/>
        <v>0.05833734678494417</v>
      </c>
      <c r="CW26" s="10">
        <f>+'SECURED LOANS'!CA84+'RETAIL CREDIT'!CY27+'UNSECURED LOANS'!CZ27</f>
        <v>1399</v>
      </c>
      <c r="CX26" s="14">
        <f t="shared" si="20"/>
        <v>0.03201006749799794</v>
      </c>
      <c r="CY26" s="34"/>
      <c r="CZ26" s="34"/>
    </row>
    <row r="27" spans="1:104" ht="12.75">
      <c r="A27" s="8" t="s">
        <v>86</v>
      </c>
      <c r="B27" s="8"/>
      <c r="C27" s="8"/>
      <c r="D27" s="9">
        <f>+'SECURED LOANS'!D85+'RETAIL CREDIT'!D28+'UNSECURED LOANS'!D28+'CAR FINANCE'!D29</f>
        <v>160167.79</v>
      </c>
      <c r="E27" s="14">
        <f t="shared" si="21"/>
        <v>0.0007859112025104761</v>
      </c>
      <c r="F27" s="10">
        <f>+'SECURED LOANS'!F85+'RETAIL CREDIT'!F28+'UNSECURED LOANS'!F28+'CAR FINANCE'!F29</f>
        <v>10</v>
      </c>
      <c r="G27" s="14">
        <f t="shared" si="22"/>
        <v>9.903931860948797E-05</v>
      </c>
      <c r="H27" s="14"/>
      <c r="I27" s="9">
        <v>158528.48</v>
      </c>
      <c r="J27" s="14">
        <v>0.0009</v>
      </c>
      <c r="K27" s="10">
        <v>10</v>
      </c>
      <c r="L27" s="14">
        <v>0.0001</v>
      </c>
      <c r="M27" s="14"/>
      <c r="N27" s="10"/>
      <c r="O27" s="14"/>
      <c r="P27" s="9">
        <f>+'SECURED LOANS'!Q85+'RETAIL CREDIT'!Q28+'UNSECURED LOANS'!R28</f>
        <v>287170.08</v>
      </c>
      <c r="Q27" s="14">
        <f t="shared" si="23"/>
        <v>0.0012763523650240424</v>
      </c>
      <c r="R27" s="10">
        <f>+'SECURED LOANS'!S85+'RETAIL CREDIT'!S28+'UNSECURED LOANS'!T28</f>
        <v>21</v>
      </c>
      <c r="S27" s="14">
        <f t="shared" si="24"/>
        <v>0.00023384519448125342</v>
      </c>
      <c r="T27" s="14"/>
      <c r="U27" s="10"/>
      <c r="V27" s="14"/>
      <c r="W27" s="9">
        <f>+'SECURED LOANS'!V85+'RETAIL CREDIT'!X28+'UNSECURED LOANS'!Y28</f>
        <v>1798826.4500000002</v>
      </c>
      <c r="X27" s="14">
        <f t="shared" si="25"/>
        <v>0.007995040408545703</v>
      </c>
      <c r="Y27" s="10">
        <f>+'SECURED LOANS'!X85+'RETAIL CREDIT'!Z28+'UNSECURED LOANS'!AA28</f>
        <v>121</v>
      </c>
      <c r="Z27" s="14">
        <f t="shared" si="0"/>
        <v>0.0014513265844648083</v>
      </c>
      <c r="AA27" s="14"/>
      <c r="AB27" s="10"/>
      <c r="AC27" s="14"/>
      <c r="AD27" s="34"/>
      <c r="AE27" s="9">
        <f>+'SECURED LOANS'!AA85+'RETAIL CREDIT'!AE28+'UNSECURED LOANS'!AF28</f>
        <v>4697114.98</v>
      </c>
      <c r="AF27" s="14">
        <f t="shared" si="1"/>
        <v>0.020213827375875505</v>
      </c>
      <c r="AG27" s="10">
        <f>+'SECURED LOANS'!AC85+'RETAIL CREDIT'!AG28+'UNSECURED LOANS'!AH28</f>
        <v>314</v>
      </c>
      <c r="AH27" s="14">
        <f t="shared" si="2"/>
        <v>0.0041072596468279925</v>
      </c>
      <c r="AI27" s="14"/>
      <c r="AJ27" s="10"/>
      <c r="AK27" s="14"/>
      <c r="AL27" s="9">
        <f>+'SECURED LOANS'!AF85+'RETAIL CREDIT'!AL28+'UNSECURED LOANS'!AM28</f>
        <v>10733150.090000007</v>
      </c>
      <c r="AM27" s="14">
        <f t="shared" si="3"/>
        <v>0.04696648685622493</v>
      </c>
      <c r="AN27" s="10">
        <f>+'SECURED LOANS'!AH85+'RETAIL CREDIT'!AN28+'UNSECURED LOANS'!AO28</f>
        <v>819</v>
      </c>
      <c r="AO27" s="14">
        <f t="shared" si="4"/>
        <v>0.011037884607609266</v>
      </c>
      <c r="AP27" s="14"/>
      <c r="AQ27" s="10"/>
      <c r="AR27" s="14"/>
      <c r="AS27" s="9">
        <f>+'SECURED LOANS'!AK85+'RETAIL CREDIT'!AS28+'UNSECURED LOANS'!AT28</f>
        <v>15192297.039999992</v>
      </c>
      <c r="AT27" s="14">
        <f t="shared" si="26"/>
        <v>0.06723695743582739</v>
      </c>
      <c r="AU27" s="10">
        <f>+'SECURED LOANS'!AM85+'RETAIL CREDIT'!AU28+'UNSECURED LOANS'!AV28</f>
        <v>1260</v>
      </c>
      <c r="AV27" s="14">
        <f t="shared" si="5"/>
        <v>0.01788781782819177</v>
      </c>
      <c r="AW27" s="14"/>
      <c r="AX27" s="10"/>
      <c r="AY27" s="14"/>
      <c r="AZ27" s="9">
        <f>+'SECURED LOANS'!AP85+'RETAIL CREDIT'!AZ28+'UNSECURED LOANS'!BA28</f>
        <v>20224056.88999998</v>
      </c>
      <c r="BA27" s="14">
        <f t="shared" si="27"/>
        <v>0.07655624864019797</v>
      </c>
      <c r="BB27" s="10">
        <f>+'SECURED LOANS'!AR85+'RETAIL CREDIT'!BB28+'UNSECURED LOANS'!BC28</f>
        <v>1850</v>
      </c>
      <c r="BC27" s="14">
        <f t="shared" si="6"/>
        <v>0.02512596938706216</v>
      </c>
      <c r="BD27" s="14"/>
      <c r="BE27" s="10"/>
      <c r="BF27" s="14"/>
      <c r="BG27" s="9">
        <f>+'SECURED LOANS'!AU85+'RETAIL CREDIT'!BG28+'UNSECURED LOANS'!BH28</f>
        <v>22027428.270000026</v>
      </c>
      <c r="BH27" s="14">
        <f t="shared" si="7"/>
        <v>0.09309370722369456</v>
      </c>
      <c r="BI27" s="10">
        <f>+'SECURED LOANS'!AW85+'RETAIL CREDIT'!BI28+'UNSECURED LOANS'!BJ28</f>
        <v>2157</v>
      </c>
      <c r="BJ27" s="14">
        <f t="shared" si="8"/>
        <v>0.033422687760509474</v>
      </c>
      <c r="BK27" s="14"/>
      <c r="BL27" s="10"/>
      <c r="BM27" s="14"/>
      <c r="BN27" s="9">
        <f>+'SECURED LOANS'!AZ85+'RETAIL CREDIT'!BN28+'UNSECURED LOANS'!BO28</f>
        <v>19423151.869999997</v>
      </c>
      <c r="BO27" s="14">
        <f t="shared" si="9"/>
        <v>0.08946257976036733</v>
      </c>
      <c r="BP27" s="10">
        <f>+'SECURED LOANS'!BB85+'RETAIL CREDIT'!BP28+'UNSECURED LOANS'!BQ28</f>
        <v>1989</v>
      </c>
      <c r="BQ27" s="14">
        <f t="shared" si="10"/>
        <v>0.034204054960361815</v>
      </c>
      <c r="BR27" s="14"/>
      <c r="BS27" s="10"/>
      <c r="BT27" s="14"/>
      <c r="BU27" s="9">
        <f>+'SECURED LOANS'!BE85+'RETAIL CREDIT'!BU28+'UNSECURED LOANS'!BV28</f>
        <v>21112650.97</v>
      </c>
      <c r="BV27" s="14">
        <f t="shared" si="11"/>
        <v>0.09096937445224323</v>
      </c>
      <c r="BW27" s="10">
        <f>+'SECURED LOANS'!BG85+'RETAIL CREDIT'!BW28+'UNSECURED LOANS'!BX28</f>
        <v>1897</v>
      </c>
      <c r="BX27" s="14">
        <f t="shared" si="12"/>
        <v>0.03397388828196357</v>
      </c>
      <c r="BY27" s="14"/>
      <c r="BZ27" s="10"/>
      <c r="CA27" s="14"/>
      <c r="CB27" s="9">
        <f>+'SECURED LOANS'!BJ85+'RETAIL CREDIT'!CB28+'UNSECURED LOANS'!CC28</f>
        <v>17212089.249999993</v>
      </c>
      <c r="CC27" s="14">
        <f t="shared" si="13"/>
        <v>0.07392348399751485</v>
      </c>
      <c r="CD27" s="10">
        <f>+'SECURED LOANS'!BL85+'RETAIL CREDIT'!CD28+'UNSECURED LOANS'!CE28</f>
        <v>1395</v>
      </c>
      <c r="CE27" s="14">
        <f t="shared" si="14"/>
        <v>0.025429290167341134</v>
      </c>
      <c r="CF27" s="14"/>
      <c r="CG27" s="10"/>
      <c r="CH27" s="14"/>
      <c r="CI27" s="9">
        <f>+'SECURED LOANS'!BO85+'RETAIL CREDIT'!CI28+'UNSECURED LOANS'!CJ28</f>
        <v>16263597.409999989</v>
      </c>
      <c r="CJ27" s="14">
        <f t="shared" si="15"/>
        <v>0.07276091860762052</v>
      </c>
      <c r="CK27" s="10">
        <f>+'SECURED LOANS'!BQ85+'RETAIL CREDIT'!CK28+'UNSECURED LOANS'!CL28</f>
        <v>1097</v>
      </c>
      <c r="CL27" s="14">
        <f t="shared" si="16"/>
        <v>0.023302744498258136</v>
      </c>
      <c r="CM27" s="14"/>
      <c r="CN27" s="10"/>
      <c r="CO27" s="9">
        <f>+'SECURED LOANS'!BT85+'RETAIL CREDIT'!CP28+'UNSECURED LOANS'!CQ28</f>
        <v>14183902.289999986</v>
      </c>
      <c r="CP27" s="14">
        <f t="shared" si="17"/>
        <v>0.0666313489178296</v>
      </c>
      <c r="CQ27" s="10">
        <f>+'SECURED LOANS'!BV85+'RETAIL CREDIT'!CR28+'UNSECURED LOANS'!CS28</f>
        <v>831</v>
      </c>
      <c r="CR27" s="14">
        <f t="shared" si="18"/>
        <v>0.02064237275504881</v>
      </c>
      <c r="CS27" s="34"/>
      <c r="CT27" s="34"/>
      <c r="CU27" s="100">
        <f>+'SECURED LOANS'!BY85+'RETAIL CREDIT'!CW28+'UNSECURED LOANS'!CX28</f>
        <v>10294370.030000001</v>
      </c>
      <c r="CV27" s="14">
        <f t="shared" si="19"/>
        <v>0.042784129020046135</v>
      </c>
      <c r="CW27" s="10">
        <f>+'SECURED LOANS'!CA85+'RETAIL CREDIT'!CY28+'UNSECURED LOANS'!CZ28</f>
        <v>590</v>
      </c>
      <c r="CX27" s="14">
        <f t="shared" si="20"/>
        <v>0.01349959958814781</v>
      </c>
      <c r="CY27" s="34"/>
      <c r="CZ27" s="34"/>
    </row>
    <row r="28" spans="1:104" ht="12.75">
      <c r="A28" s="8" t="s">
        <v>87</v>
      </c>
      <c r="B28" s="8"/>
      <c r="C28" s="8"/>
      <c r="D28" s="9">
        <f>+'SECURED LOANS'!D86+'RETAIL CREDIT'!D29+'UNSECURED LOANS'!D29+'CAR FINANCE'!D30</f>
        <v>6942467.090000001</v>
      </c>
      <c r="E28" s="14">
        <f t="shared" si="21"/>
        <v>0.03406529277260619</v>
      </c>
      <c r="F28" s="10">
        <f>+'SECURED LOANS'!F86+'RETAIL CREDIT'!F29+'UNSECURED LOANS'!F29+'CAR FINANCE'!F30</f>
        <v>434</v>
      </c>
      <c r="G28" s="14">
        <f t="shared" si="22"/>
        <v>0.004298306427651778</v>
      </c>
      <c r="H28" s="14"/>
      <c r="I28" s="9">
        <v>6650585.27</v>
      </c>
      <c r="J28" s="14">
        <v>0.0381</v>
      </c>
      <c r="K28" s="10">
        <v>417</v>
      </c>
      <c r="L28" s="14">
        <v>0.0051</v>
      </c>
      <c r="M28" s="14"/>
      <c r="N28" s="10"/>
      <c r="O28" s="14"/>
      <c r="P28" s="9">
        <f>+'SECURED LOANS'!Q86+'RETAIL CREDIT'!Q29+'UNSECURED LOANS'!R29</f>
        <v>18440631.89</v>
      </c>
      <c r="Q28" s="14">
        <f t="shared" si="23"/>
        <v>0.0819609902443154</v>
      </c>
      <c r="R28" s="10">
        <f>+'SECURED LOANS'!S86+'RETAIL CREDIT'!S29+'UNSECURED LOANS'!T29</f>
        <v>1251</v>
      </c>
      <c r="S28" s="14">
        <f t="shared" si="24"/>
        <v>0.01393049229981181</v>
      </c>
      <c r="T28" s="14"/>
      <c r="U28" s="10"/>
      <c r="V28" s="14"/>
      <c r="W28" s="9">
        <f>+'SECURED LOANS'!V86+'RETAIL CREDIT'!X29+'UNSECURED LOANS'!Y29</f>
        <v>24486305.509999998</v>
      </c>
      <c r="X28" s="14">
        <f t="shared" si="25"/>
        <v>0.10883151179395059</v>
      </c>
      <c r="Y28" s="10">
        <f>+'SECURED LOANS'!X86+'RETAIL CREDIT'!Z29+'UNSECURED LOANS'!AA29</f>
        <v>1920</v>
      </c>
      <c r="Z28" s="14">
        <f t="shared" si="0"/>
        <v>0.023029314398119272</v>
      </c>
      <c r="AA28" s="14"/>
      <c r="AB28" s="10"/>
      <c r="AC28" s="14"/>
      <c r="AD28" s="34"/>
      <c r="AE28" s="9">
        <f>+'SECURED LOANS'!AA86+'RETAIL CREDIT'!AE29+'UNSECURED LOANS'!AF29</f>
        <v>26477871.179999992</v>
      </c>
      <c r="AF28" s="14">
        <f t="shared" si="1"/>
        <v>0.11394635208891328</v>
      </c>
      <c r="AG28" s="10">
        <f>+'SECURED LOANS'!AC86+'RETAIL CREDIT'!AG29+'UNSECURED LOANS'!AH29</f>
        <v>2232</v>
      </c>
      <c r="AH28" s="14">
        <f t="shared" si="2"/>
        <v>0.02919555264879006</v>
      </c>
      <c r="AI28" s="14"/>
      <c r="AJ28" s="10"/>
      <c r="AK28" s="14"/>
      <c r="AL28" s="9">
        <f>+'SECURED LOANS'!AF86+'RETAIL CREDIT'!AL29+'UNSECURED LOANS'!AM29</f>
        <v>23507026.29</v>
      </c>
      <c r="AM28" s="14">
        <f t="shared" si="3"/>
        <v>0.10286285312518331</v>
      </c>
      <c r="AN28" s="10">
        <f>+'SECURED LOANS'!AH86+'RETAIL CREDIT'!AN29+'UNSECURED LOANS'!AO29</f>
        <v>2172</v>
      </c>
      <c r="AO28" s="14">
        <f t="shared" si="4"/>
        <v>0.029272631706626775</v>
      </c>
      <c r="AP28" s="14"/>
      <c r="AQ28" s="10"/>
      <c r="AR28" s="14"/>
      <c r="AS28" s="9">
        <f>+'SECURED LOANS'!AK86+'RETAIL CREDIT'!AS29+'UNSECURED LOANS'!AT29</f>
        <v>19514503.060000025</v>
      </c>
      <c r="AT28" s="14">
        <f t="shared" si="26"/>
        <v>0.08636586081564303</v>
      </c>
      <c r="AU28" s="10">
        <f>+'SECURED LOANS'!AM86+'RETAIL CREDIT'!AU29+'UNSECURED LOANS'!AV29</f>
        <v>1923</v>
      </c>
      <c r="AV28" s="14">
        <f t="shared" si="5"/>
        <v>0.027300217209216486</v>
      </c>
      <c r="AW28" s="14"/>
      <c r="AX28" s="10"/>
      <c r="AY28" s="14"/>
      <c r="AZ28" s="9">
        <f>+'SECURED LOANS'!AP86+'RETAIL CREDIT'!AZ29+'UNSECURED LOANS'!BA29</f>
        <v>23238122.040000018</v>
      </c>
      <c r="BA28" s="14">
        <f t="shared" si="27"/>
        <v>0.08796570631212794</v>
      </c>
      <c r="BB28" s="10">
        <f>+'SECURED LOANS'!AR86+'RETAIL CREDIT'!BB29+'UNSECURED LOANS'!BC29</f>
        <v>1821</v>
      </c>
      <c r="BC28" s="14">
        <f t="shared" si="6"/>
        <v>0.02473210283991362</v>
      </c>
      <c r="BD28" s="14"/>
      <c r="BE28" s="10"/>
      <c r="BF28" s="14"/>
      <c r="BG28" s="9">
        <f>+'SECURED LOANS'!AU86+'RETAIL CREDIT'!BG29+'UNSECURED LOANS'!BH29</f>
        <v>17055345.89</v>
      </c>
      <c r="BH28" s="14">
        <f t="shared" si="7"/>
        <v>0.0720803789448681</v>
      </c>
      <c r="BI28" s="10">
        <f>+'SECURED LOANS'!AW86+'RETAIL CREDIT'!BI29+'UNSECURED LOANS'!BJ29</f>
        <v>1200</v>
      </c>
      <c r="BJ28" s="14">
        <f t="shared" si="8"/>
        <v>0.01859398484590235</v>
      </c>
      <c r="BK28" s="14"/>
      <c r="BL28" s="10"/>
      <c r="BM28" s="14"/>
      <c r="BN28" s="9">
        <f>+'SECURED LOANS'!AZ86+'RETAIL CREDIT'!BN29+'UNSECURED LOANS'!BO29</f>
        <v>14386119.889999993</v>
      </c>
      <c r="BO28" s="14">
        <f t="shared" si="9"/>
        <v>0.06626212917014747</v>
      </c>
      <c r="BP28" s="10">
        <f>+'SECURED LOANS'!BB86+'RETAIL CREDIT'!BP29+'UNSECURED LOANS'!BQ29</f>
        <v>872</v>
      </c>
      <c r="BQ28" s="14">
        <f t="shared" si="10"/>
        <v>0.014995442898660383</v>
      </c>
      <c r="BR28" s="14"/>
      <c r="BS28" s="10"/>
      <c r="BT28" s="14"/>
      <c r="BU28" s="9">
        <f>+'SECURED LOANS'!BE86+'RETAIL CREDIT'!BU29+'UNSECURED LOANS'!BV29</f>
        <v>13539831.990000002</v>
      </c>
      <c r="BV28" s="14">
        <f t="shared" si="11"/>
        <v>0.0583399047362157</v>
      </c>
      <c r="BW28" s="10">
        <f>+'SECURED LOANS'!BG86+'RETAIL CREDIT'!BW29+'UNSECURED LOANS'!BX29</f>
        <v>745</v>
      </c>
      <c r="BX28" s="14">
        <f t="shared" si="12"/>
        <v>0.013342407364292494</v>
      </c>
      <c r="BY28" s="14"/>
      <c r="BZ28" s="10"/>
      <c r="CA28" s="14"/>
      <c r="CB28" s="9">
        <f>+'SECURED LOANS'!BJ86+'RETAIL CREDIT'!CB29+'UNSECURED LOANS'!CC29</f>
        <v>12830909.170000015</v>
      </c>
      <c r="CC28" s="14">
        <f t="shared" si="13"/>
        <v>0.05510693646339668</v>
      </c>
      <c r="CD28" s="10">
        <f>+'SECURED LOANS'!BL86+'RETAIL CREDIT'!CD29+'UNSECURED LOANS'!CE29</f>
        <v>663</v>
      </c>
      <c r="CE28" s="14">
        <f t="shared" si="14"/>
        <v>0.012085748660177184</v>
      </c>
      <c r="CF28" s="14"/>
      <c r="CG28" s="10"/>
      <c r="CH28" s="14"/>
      <c r="CI28" s="9">
        <f>+'SECURED LOANS'!BO86+'RETAIL CREDIT'!CI29+'UNSECURED LOANS'!CJ29</f>
        <v>10385220.809999995</v>
      </c>
      <c r="CJ28" s="14">
        <f t="shared" si="15"/>
        <v>0.04646193502145827</v>
      </c>
      <c r="CK28" s="10">
        <f>+'SECURED LOANS'!BQ86+'RETAIL CREDIT'!CK29+'UNSECURED LOANS'!CL29</f>
        <v>514</v>
      </c>
      <c r="CL28" s="14">
        <f t="shared" si="16"/>
        <v>0.010918514742119127</v>
      </c>
      <c r="CM28" s="14"/>
      <c r="CN28" s="10"/>
      <c r="CO28" s="9">
        <f>+'SECURED LOANS'!BT86+'RETAIL CREDIT'!CP29+'UNSECURED LOANS'!CQ29</f>
        <v>9819419.689999998</v>
      </c>
      <c r="CP28" s="14">
        <f t="shared" si="17"/>
        <v>0.046128432511572004</v>
      </c>
      <c r="CQ28" s="10">
        <f>+'SECURED LOANS'!BV86+'RETAIL CREDIT'!CR29+'UNSECURED LOANS'!CS29</f>
        <v>480</v>
      </c>
      <c r="CR28" s="14">
        <f t="shared" si="18"/>
        <v>0.011923392205082347</v>
      </c>
      <c r="CS28" s="34"/>
      <c r="CT28" s="34"/>
      <c r="CU28" s="100">
        <f>+'SECURED LOANS'!BY86+'RETAIL CREDIT'!CW29+'UNSECURED LOANS'!CX29</f>
        <v>9869311.629999999</v>
      </c>
      <c r="CV28" s="14">
        <f t="shared" si="19"/>
        <v>0.041017556284302495</v>
      </c>
      <c r="CW28" s="10">
        <f>+'SECURED LOANS'!CA86+'RETAIL CREDIT'!CY29+'UNSECURED LOANS'!CZ29</f>
        <v>445</v>
      </c>
      <c r="CX28" s="14">
        <f t="shared" si="20"/>
        <v>0.010181901384280975</v>
      </c>
      <c r="CY28" s="34"/>
      <c r="CZ28" s="34"/>
    </row>
    <row r="29" spans="1:104" ht="12.75">
      <c r="A29" s="8" t="s">
        <v>6</v>
      </c>
      <c r="B29" s="8"/>
      <c r="C29" s="8"/>
      <c r="D29" s="9">
        <f>+'SECURED LOANS'!D87</f>
        <v>5052118.92</v>
      </c>
      <c r="E29" s="14">
        <f t="shared" si="21"/>
        <v>0.024789733663947836</v>
      </c>
      <c r="F29" s="10">
        <f>+'SECURED LOANS'!F87</f>
        <v>252</v>
      </c>
      <c r="G29" s="14">
        <f t="shared" si="22"/>
        <v>0.0024957908289590966</v>
      </c>
      <c r="H29" s="14"/>
      <c r="I29" s="9">
        <v>4868624.64</v>
      </c>
      <c r="J29" s="14">
        <v>0.0279</v>
      </c>
      <c r="K29" s="10">
        <v>245</v>
      </c>
      <c r="L29" s="14">
        <v>0.003</v>
      </c>
      <c r="M29" s="14"/>
      <c r="N29" s="10"/>
      <c r="O29" s="14"/>
      <c r="P29" s="9">
        <f>+'SECURED LOANS'!Q87</f>
        <v>12375372.169999985</v>
      </c>
      <c r="Q29" s="14">
        <f t="shared" si="23"/>
        <v>0.0550034165719221</v>
      </c>
      <c r="R29" s="10">
        <f>+'SECURED LOANS'!S87</f>
        <v>581</v>
      </c>
      <c r="S29" s="14">
        <f t="shared" si="24"/>
        <v>0.006469717047314678</v>
      </c>
      <c r="T29" s="14"/>
      <c r="U29" s="10"/>
      <c r="V29" s="14"/>
      <c r="W29" s="9">
        <f>+'SECURED LOANS'!V87</f>
        <v>13580306.340000013</v>
      </c>
      <c r="X29" s="14">
        <f t="shared" si="25"/>
        <v>0.0603588511547234</v>
      </c>
      <c r="Y29" s="10">
        <f>+'SECURED LOANS'!X87</f>
        <v>625</v>
      </c>
      <c r="Z29" s="14">
        <f t="shared" si="0"/>
        <v>0.007496521613971118</v>
      </c>
      <c r="AA29" s="14"/>
      <c r="AB29" s="10"/>
      <c r="AC29" s="14"/>
      <c r="AD29" s="34"/>
      <c r="AE29" s="9">
        <f>+'SECURED LOANS'!AA87</f>
        <v>14667477.100000003</v>
      </c>
      <c r="AF29" s="14">
        <f t="shared" si="1"/>
        <v>0.06312084149556141</v>
      </c>
      <c r="AG29" s="10">
        <f>+'SECURED LOANS'!AC87</f>
        <v>665</v>
      </c>
      <c r="AH29" s="14">
        <f t="shared" si="2"/>
        <v>0.00869849574885546</v>
      </c>
      <c r="AI29" s="14"/>
      <c r="AJ29" s="10"/>
      <c r="AK29" s="14"/>
      <c r="AL29" s="9">
        <f>+'SECURED LOANS'!AF87</f>
        <v>12849392.399999999</v>
      </c>
      <c r="AM29" s="14">
        <f t="shared" si="3"/>
        <v>0.05622681265096108</v>
      </c>
      <c r="AN29" s="10">
        <f>+'SECURED LOANS'!AH87</f>
        <v>582</v>
      </c>
      <c r="AO29" s="14">
        <f t="shared" si="4"/>
        <v>0.007843771479399991</v>
      </c>
      <c r="AP29" s="14"/>
      <c r="AQ29" s="10"/>
      <c r="AR29" s="14"/>
      <c r="AS29" s="9">
        <f>+'SECURED LOANS'!AK87</f>
        <v>10445122.66</v>
      </c>
      <c r="AT29" s="14">
        <f t="shared" si="26"/>
        <v>0.04622726016041722</v>
      </c>
      <c r="AU29" s="10">
        <f>+'SECURED LOANS'!AM87</f>
        <v>472</v>
      </c>
      <c r="AV29" s="14">
        <f t="shared" si="5"/>
        <v>0.006700833345163901</v>
      </c>
      <c r="AW29" s="14"/>
      <c r="AX29" s="10"/>
      <c r="AY29" s="14"/>
      <c r="AZ29" s="9">
        <f>+'SECURED LOANS'!AP87</f>
        <v>17834404.880000006</v>
      </c>
      <c r="BA29" s="14">
        <f t="shared" si="27"/>
        <v>0.06751044766979203</v>
      </c>
      <c r="BB29" s="10">
        <f>+'SECURED LOANS'!AR87</f>
        <v>735</v>
      </c>
      <c r="BC29" s="14">
        <f t="shared" si="6"/>
        <v>0.009982479729454426</v>
      </c>
      <c r="BD29" s="14"/>
      <c r="BE29" s="10"/>
      <c r="BF29" s="14"/>
      <c r="BG29" s="9">
        <f>+'SECURED LOANS'!AU87</f>
        <v>16480184.230000004</v>
      </c>
      <c r="BH29" s="14">
        <f t="shared" si="7"/>
        <v>0.06964959444628652</v>
      </c>
      <c r="BI29" s="10">
        <f>+'SECURED LOANS'!AW87</f>
        <v>666</v>
      </c>
      <c r="BJ29" s="14">
        <f t="shared" si="8"/>
        <v>0.010319661589475804</v>
      </c>
      <c r="BK29" s="14"/>
      <c r="BL29" s="10"/>
      <c r="BM29" s="14"/>
      <c r="BN29" s="9">
        <f>+'SECURED LOANS'!AZ87</f>
        <v>16327201.639999997</v>
      </c>
      <c r="BO29" s="14">
        <f t="shared" si="9"/>
        <v>0.0752027059644311</v>
      </c>
      <c r="BP29" s="10">
        <f>+'SECURED LOANS'!BB87</f>
        <v>645</v>
      </c>
      <c r="BQ29" s="14">
        <f t="shared" si="10"/>
        <v>0.011091812694536638</v>
      </c>
      <c r="BR29" s="14"/>
      <c r="BS29" s="10"/>
      <c r="BT29" s="14"/>
      <c r="BU29" s="9">
        <f>+'SECURED LOANS'!BE87</f>
        <v>22653472.090000037</v>
      </c>
      <c r="BV29" s="14">
        <f t="shared" si="11"/>
        <v>0.09760840493820064</v>
      </c>
      <c r="BW29" s="10">
        <f>+'SECURED LOANS'!BG87</f>
        <v>870</v>
      </c>
      <c r="BX29" s="14">
        <f t="shared" si="12"/>
        <v>0.015581066318032846</v>
      </c>
      <c r="BY29" s="14"/>
      <c r="BZ29" s="10"/>
      <c r="CA29" s="14"/>
      <c r="CB29" s="9">
        <f>+'SECURED LOANS'!BJ87</f>
        <v>24434056.340000015</v>
      </c>
      <c r="CC29" s="14">
        <f t="shared" si="13"/>
        <v>0.10494080913764539</v>
      </c>
      <c r="CD29" s="10">
        <f>+'SECURED LOANS'!BL87</f>
        <v>938</v>
      </c>
      <c r="CE29" s="14">
        <f t="shared" si="14"/>
        <v>0.01709869116628386</v>
      </c>
      <c r="CF29" s="14"/>
      <c r="CG29" s="10"/>
      <c r="CH29" s="14"/>
      <c r="CI29" s="9">
        <f>+'SECURED LOANS'!BO87</f>
        <v>25298140.480000027</v>
      </c>
      <c r="CJ29" s="14">
        <f t="shared" si="15"/>
        <v>0.11318012208403731</v>
      </c>
      <c r="CK29" s="10">
        <f>+'SECURED LOANS'!BQ87</f>
        <v>970</v>
      </c>
      <c r="CL29" s="14">
        <f t="shared" si="16"/>
        <v>0.020604979182598352</v>
      </c>
      <c r="CM29" s="14"/>
      <c r="CN29" s="10"/>
      <c r="CO29" s="9">
        <f>+'SECURED LOANS'!BT87</f>
        <v>26826321.379999995</v>
      </c>
      <c r="CP29" s="14">
        <f t="shared" si="17"/>
        <v>0.12602131229519442</v>
      </c>
      <c r="CQ29" s="10">
        <f>+'SECURED LOANS'!BV87</f>
        <v>1001</v>
      </c>
      <c r="CR29" s="14">
        <f t="shared" si="18"/>
        <v>0.024865240827682142</v>
      </c>
      <c r="CS29" s="34"/>
      <c r="CT29" s="34"/>
      <c r="CU29" s="9">
        <f>+'SECURED LOANS'!BY87</f>
        <v>27900523.870000005</v>
      </c>
      <c r="CV29" s="14">
        <f t="shared" si="19"/>
        <v>0.11595654804541324</v>
      </c>
      <c r="CW29" s="10">
        <f>+'SECURED LOANS'!CA87</f>
        <v>1023</v>
      </c>
      <c r="CX29" s="14">
        <f t="shared" si="20"/>
        <v>0.023406932845212218</v>
      </c>
      <c r="CY29" s="34"/>
      <c r="CZ29" s="34"/>
    </row>
    <row r="30" spans="1:104" ht="12.75">
      <c r="A30" s="8" t="s">
        <v>7</v>
      </c>
      <c r="B30" s="8"/>
      <c r="C30" s="8"/>
      <c r="D30" s="9">
        <f>+'SECURED LOANS'!D88</f>
        <v>3127872.47</v>
      </c>
      <c r="E30" s="14">
        <f t="shared" si="21"/>
        <v>0.015347842498152176</v>
      </c>
      <c r="F30" s="10">
        <f>+'SECURED LOANS'!F88</f>
        <v>133</v>
      </c>
      <c r="G30" s="14">
        <f t="shared" si="22"/>
        <v>0.00131722293750619</v>
      </c>
      <c r="H30" s="14"/>
      <c r="I30" s="9">
        <v>3024520.45</v>
      </c>
      <c r="J30" s="14">
        <v>0.0173</v>
      </c>
      <c r="K30" s="10">
        <v>130</v>
      </c>
      <c r="L30" s="14">
        <v>0.0016</v>
      </c>
      <c r="M30" s="14"/>
      <c r="N30" s="10"/>
      <c r="O30" s="14"/>
      <c r="P30" s="9">
        <f>+'SECURED LOANS'!Q88</f>
        <v>6962187.530000002</v>
      </c>
      <c r="Q30" s="14">
        <f t="shared" si="23"/>
        <v>0.030944047233807913</v>
      </c>
      <c r="R30" s="10">
        <f>+'SECURED LOANS'!S88</f>
        <v>290</v>
      </c>
      <c r="S30" s="14">
        <f t="shared" si="24"/>
        <v>0.0032292907809315947</v>
      </c>
      <c r="T30" s="14"/>
      <c r="U30" s="10"/>
      <c r="V30" s="14"/>
      <c r="W30" s="9">
        <f>+'SECURED LOANS'!V88</f>
        <v>8186013.240000003</v>
      </c>
      <c r="X30" s="14">
        <f t="shared" si="25"/>
        <v>0.036383446907115556</v>
      </c>
      <c r="Y30" s="10">
        <f>+'SECURED LOANS'!X88</f>
        <v>329</v>
      </c>
      <c r="Z30" s="14">
        <f t="shared" si="0"/>
        <v>0.003946168977594396</v>
      </c>
      <c r="AA30" s="14"/>
      <c r="AB30" s="10"/>
      <c r="AC30" s="14"/>
      <c r="AD30" s="34"/>
      <c r="AE30" s="9">
        <f>+'SECURED LOANS'!AA88</f>
        <v>8706443.700000005</v>
      </c>
      <c r="AF30" s="14">
        <f t="shared" si="1"/>
        <v>0.03746779688360512</v>
      </c>
      <c r="AG30" s="10">
        <f>+'SECURED LOANS'!AC88</f>
        <v>341</v>
      </c>
      <c r="AH30" s="14">
        <f t="shared" si="2"/>
        <v>0.004460431654676259</v>
      </c>
      <c r="AI30" s="14"/>
      <c r="AJ30" s="10"/>
      <c r="AK30" s="14"/>
      <c r="AL30" s="9">
        <f>+'SECURED LOANS'!AF88</f>
        <v>7953862.98</v>
      </c>
      <c r="AM30" s="14">
        <f t="shared" si="3"/>
        <v>0.034804786849522554</v>
      </c>
      <c r="AN30" s="10">
        <f>+'SECURED LOANS'!AH88</f>
        <v>314</v>
      </c>
      <c r="AO30" s="14">
        <f t="shared" si="4"/>
        <v>0.0042318629631127105</v>
      </c>
      <c r="AP30" s="14"/>
      <c r="AQ30" s="10"/>
      <c r="AR30" s="14"/>
      <c r="AS30" s="9">
        <f>+'SECURED LOANS'!AK88</f>
        <v>6219940.019999999</v>
      </c>
      <c r="AT30" s="14">
        <f t="shared" si="26"/>
        <v>0.027527755761819903</v>
      </c>
      <c r="AU30" s="10">
        <f>+'SECURED LOANS'!AM88</f>
        <v>248</v>
      </c>
      <c r="AV30" s="14">
        <f t="shared" si="5"/>
        <v>0.003520776842374253</v>
      </c>
      <c r="AW30" s="14"/>
      <c r="AX30" s="10"/>
      <c r="AY30" s="14"/>
      <c r="AZ30" s="9">
        <f>+'SECURED LOANS'!AP88</f>
        <v>10953181.97</v>
      </c>
      <c r="BA30" s="14">
        <f t="shared" si="27"/>
        <v>0.041462231186230325</v>
      </c>
      <c r="BB30" s="10">
        <f>+'SECURED LOANS'!AR88</f>
        <v>376</v>
      </c>
      <c r="BC30" s="14">
        <f t="shared" si="6"/>
        <v>0.005106683507856959</v>
      </c>
      <c r="BD30" s="14"/>
      <c r="BE30" s="10"/>
      <c r="BF30" s="14"/>
      <c r="BG30" s="9">
        <f>+'SECURED LOANS'!AU88</f>
        <v>10042145.530000003</v>
      </c>
      <c r="BH30" s="14">
        <f t="shared" si="7"/>
        <v>0.042440749070138825</v>
      </c>
      <c r="BI30" s="10">
        <f>+'SECURED LOANS'!AW88</f>
        <v>333</v>
      </c>
      <c r="BJ30" s="14">
        <f t="shared" si="8"/>
        <v>0.005159830794737902</v>
      </c>
      <c r="BK30" s="14"/>
      <c r="BL30" s="10"/>
      <c r="BM30" s="14"/>
      <c r="BN30" s="9">
        <f>+'SECURED LOANS'!AZ88</f>
        <v>9762467.160000002</v>
      </c>
      <c r="BO30" s="14">
        <f t="shared" si="9"/>
        <v>0.04496569366316071</v>
      </c>
      <c r="BP30" s="10">
        <f>+'SECURED LOANS'!BB88</f>
        <v>315</v>
      </c>
      <c r="BQ30" s="14">
        <f t="shared" si="10"/>
        <v>0.005416931781052776</v>
      </c>
      <c r="BR30" s="14"/>
      <c r="BS30" s="10"/>
      <c r="BT30" s="14"/>
      <c r="BU30" s="9">
        <f>+'SECURED LOANS'!BE88</f>
        <v>13149372.200000001</v>
      </c>
      <c r="BV30" s="14">
        <f t="shared" si="11"/>
        <v>0.05665750668513597</v>
      </c>
      <c r="BW30" s="10">
        <f>+'SECURED LOANS'!BG88</f>
        <v>414</v>
      </c>
      <c r="BX30" s="14">
        <f t="shared" si="12"/>
        <v>0.007414438454788044</v>
      </c>
      <c r="BY30" s="14"/>
      <c r="BZ30" s="10"/>
      <c r="CA30" s="14"/>
      <c r="CB30" s="9">
        <f>+'SECURED LOANS'!BJ88</f>
        <v>14203694.039999984</v>
      </c>
      <c r="CC30" s="14">
        <f t="shared" si="13"/>
        <v>0.06100285292626729</v>
      </c>
      <c r="CD30" s="10">
        <f>+'SECURED LOANS'!BL88</f>
        <v>435</v>
      </c>
      <c r="CE30" s="14">
        <f t="shared" si="14"/>
        <v>0.007929563600568741</v>
      </c>
      <c r="CF30" s="14"/>
      <c r="CG30" s="10"/>
      <c r="CH30" s="14"/>
      <c r="CI30" s="9">
        <f>+'SECURED LOANS'!BO88</f>
        <v>15653079.619999997</v>
      </c>
      <c r="CJ30" s="14">
        <f t="shared" si="15"/>
        <v>0.07002955271686254</v>
      </c>
      <c r="CK30" s="10">
        <f>+'SECURED LOANS'!BQ88</f>
        <v>484</v>
      </c>
      <c r="CL30" s="14">
        <f t="shared" si="16"/>
        <v>0.010281247344719177</v>
      </c>
      <c r="CM30" s="14"/>
      <c r="CN30" s="10"/>
      <c r="CO30" s="9">
        <f>+'SECURED LOANS'!BT88</f>
        <v>16674409.790000008</v>
      </c>
      <c r="CP30" s="14">
        <f t="shared" si="17"/>
        <v>0.07833094123185512</v>
      </c>
      <c r="CQ30" s="10">
        <f>+'SECURED LOANS'!BV88</f>
        <v>508</v>
      </c>
      <c r="CR30" s="14">
        <f t="shared" si="18"/>
        <v>0.012618923417045482</v>
      </c>
      <c r="CS30" s="34"/>
      <c r="CT30" s="34"/>
      <c r="CU30" s="9">
        <f>+'SECURED LOANS'!BY88</f>
        <v>18039380.87999999</v>
      </c>
      <c r="CV30" s="14">
        <f t="shared" si="19"/>
        <v>0.07497294120596838</v>
      </c>
      <c r="CW30" s="10">
        <f>+'SECURED LOANS'!CA88</f>
        <v>544</v>
      </c>
      <c r="CX30" s="14">
        <f t="shared" si="20"/>
        <v>0.012447088433817642</v>
      </c>
      <c r="CY30" s="34"/>
      <c r="CZ30" s="34"/>
    </row>
    <row r="31" spans="1:104" ht="12.75">
      <c r="A31" s="8" t="s">
        <v>8</v>
      </c>
      <c r="B31" s="8"/>
      <c r="C31" s="8"/>
      <c r="D31" s="9">
        <f>+'SECURED LOANS'!D89</f>
        <v>1834050.33</v>
      </c>
      <c r="E31" s="14">
        <f t="shared" si="21"/>
        <v>0.008999316905821298</v>
      </c>
      <c r="F31" s="10">
        <f>+'SECURED LOANS'!F89</f>
        <v>75</v>
      </c>
      <c r="G31" s="14">
        <f t="shared" si="22"/>
        <v>0.0007427948895711598</v>
      </c>
      <c r="H31" s="14"/>
      <c r="I31" s="9">
        <v>1756341.77</v>
      </c>
      <c r="J31" s="14">
        <v>0.0101</v>
      </c>
      <c r="K31" s="10">
        <v>73</v>
      </c>
      <c r="L31" s="14">
        <v>0.0009</v>
      </c>
      <c r="M31" s="14"/>
      <c r="N31" s="10"/>
      <c r="O31" s="14"/>
      <c r="P31" s="9">
        <f>+'SECURED LOANS'!Q89</f>
        <v>4608320.84</v>
      </c>
      <c r="Q31" s="14">
        <f t="shared" si="23"/>
        <v>0.0204820822661037</v>
      </c>
      <c r="R31" s="10">
        <f>+'SECURED LOANS'!S89</f>
        <v>182</v>
      </c>
      <c r="S31" s="14">
        <f t="shared" si="24"/>
        <v>0.002026658352170863</v>
      </c>
      <c r="T31" s="14"/>
      <c r="U31" s="10"/>
      <c r="V31" s="14"/>
      <c r="W31" s="9">
        <f>+'SECURED LOANS'!V89</f>
        <v>5753595.960000002</v>
      </c>
      <c r="X31" s="14">
        <f t="shared" si="25"/>
        <v>0.025572357019013878</v>
      </c>
      <c r="Y31" s="10">
        <f>+'SECURED LOANS'!X89</f>
        <v>219</v>
      </c>
      <c r="Z31" s="14">
        <f t="shared" si="0"/>
        <v>0.0026267811735354797</v>
      </c>
      <c r="AA31" s="14"/>
      <c r="AB31" s="10"/>
      <c r="AC31" s="14"/>
      <c r="AD31" s="34"/>
      <c r="AE31" s="9">
        <f>+'SECURED LOANS'!AA89</f>
        <v>6175459.85</v>
      </c>
      <c r="AF31" s="14">
        <f t="shared" si="1"/>
        <v>0.026575819392556158</v>
      </c>
      <c r="AG31" s="10">
        <f>+'SECURED LOANS'!AC89</f>
        <v>243</v>
      </c>
      <c r="AH31" s="14">
        <f t="shared" si="2"/>
        <v>0.0031785480706344018</v>
      </c>
      <c r="AI31" s="14"/>
      <c r="AJ31" s="10"/>
      <c r="AK31" s="14"/>
      <c r="AL31" s="9">
        <f>+'SECURED LOANS'!AF89</f>
        <v>5301080.41</v>
      </c>
      <c r="AM31" s="14">
        <f t="shared" si="3"/>
        <v>0.023196649754485665</v>
      </c>
      <c r="AN31" s="10">
        <f>+'SECURED LOANS'!AH89</f>
        <v>208</v>
      </c>
      <c r="AO31" s="14">
        <f t="shared" si="4"/>
        <v>0.0028032722812975914</v>
      </c>
      <c r="AP31" s="14"/>
      <c r="AQ31" s="10"/>
      <c r="AR31" s="14"/>
      <c r="AS31" s="9">
        <f>+'SECURED LOANS'!AK89</f>
        <v>4498216.56</v>
      </c>
      <c r="AT31" s="14">
        <f t="shared" si="26"/>
        <v>0.01990787795851667</v>
      </c>
      <c r="AU31" s="10">
        <f>+'SECURED LOANS'!AM89</f>
        <v>180</v>
      </c>
      <c r="AV31" s="14">
        <f t="shared" si="5"/>
        <v>0.0025554025468845385</v>
      </c>
      <c r="AW31" s="14"/>
      <c r="AX31" s="10"/>
      <c r="AY31" s="14"/>
      <c r="AZ31" s="9">
        <f>+'SECURED LOANS'!AP89</f>
        <v>11817644.590000011</v>
      </c>
      <c r="BA31" s="14">
        <f t="shared" si="27"/>
        <v>0.04473457242008046</v>
      </c>
      <c r="BB31" s="10">
        <f>+'SECURED LOANS'!AR89</f>
        <v>381</v>
      </c>
      <c r="BC31" s="14">
        <f t="shared" si="6"/>
        <v>0.005174591533227397</v>
      </c>
      <c r="BD31" s="14"/>
      <c r="BE31" s="10"/>
      <c r="BF31" s="14"/>
      <c r="BG31" s="9">
        <f>+'SECURED LOANS'!AU89</f>
        <v>11020533.459999993</v>
      </c>
      <c r="BH31" s="14">
        <f t="shared" si="7"/>
        <v>0.046575673873442504</v>
      </c>
      <c r="BI31" s="10">
        <f>+'SECURED LOANS'!AW89</f>
        <v>342</v>
      </c>
      <c r="BJ31" s="14">
        <f t="shared" si="8"/>
        <v>0.00529928568108217</v>
      </c>
      <c r="BK31" s="14"/>
      <c r="BL31" s="10"/>
      <c r="BM31" s="14"/>
      <c r="BN31" s="9">
        <f>+'SECURED LOANS'!AZ89</f>
        <v>11706255.170000004</v>
      </c>
      <c r="BO31" s="14">
        <f t="shared" si="9"/>
        <v>0.05391873542722486</v>
      </c>
      <c r="BP31" s="10">
        <f>+'SECURED LOANS'!BB89</f>
        <v>352</v>
      </c>
      <c r="BQ31" s="14">
        <f t="shared" si="10"/>
        <v>0.006053206307716118</v>
      </c>
      <c r="BR31" s="14"/>
      <c r="BS31" s="10"/>
      <c r="BT31" s="14"/>
      <c r="BU31" s="9">
        <f>+'SECURED LOANS'!BE89</f>
        <v>19323003.520000003</v>
      </c>
      <c r="BV31" s="14">
        <f t="shared" si="11"/>
        <v>0.08325821069323036</v>
      </c>
      <c r="BW31" s="10">
        <f>+'SECURED LOANS'!BG89</f>
        <v>572</v>
      </c>
      <c r="BX31" s="14">
        <f t="shared" si="12"/>
        <v>0.010244103372315847</v>
      </c>
      <c r="BY31" s="14"/>
      <c r="BZ31" s="10"/>
      <c r="CA31" s="14"/>
      <c r="CB31" s="9">
        <f>+'SECURED LOANS'!BJ89</f>
        <v>21956441.78000003</v>
      </c>
      <c r="CC31" s="14">
        <f t="shared" si="13"/>
        <v>0.09429980573486739</v>
      </c>
      <c r="CD31" s="10">
        <f>+'SECURED LOANS'!BL89</f>
        <v>651</v>
      </c>
      <c r="CE31" s="14">
        <f t="shared" si="14"/>
        <v>0.01186700207809253</v>
      </c>
      <c r="CF31" s="14"/>
      <c r="CG31" s="10"/>
      <c r="CH31" s="14"/>
      <c r="CI31" s="9">
        <f>+'SECURED LOANS'!BO89</f>
        <v>24106347.139999993</v>
      </c>
      <c r="CJ31" s="14">
        <f t="shared" si="15"/>
        <v>0.10784821573990168</v>
      </c>
      <c r="CK31" s="10">
        <f>+'SECURED LOANS'!BQ89</f>
        <v>714</v>
      </c>
      <c r="CL31" s="14">
        <f t="shared" si="16"/>
        <v>0.015166964058118787</v>
      </c>
      <c r="CM31" s="14"/>
      <c r="CN31" s="10"/>
      <c r="CO31" s="9">
        <f>+'SECURED LOANS'!BT89</f>
        <v>26324691.78</v>
      </c>
      <c r="CP31" s="14">
        <f t="shared" si="17"/>
        <v>0.12366481996877196</v>
      </c>
      <c r="CQ31" s="10">
        <f>+'SECURED LOANS'!BV89</f>
        <v>776</v>
      </c>
      <c r="CR31" s="14">
        <f t="shared" si="18"/>
        <v>0.019276150731549792</v>
      </c>
      <c r="CS31" s="34"/>
      <c r="CT31" s="34"/>
      <c r="CU31" s="9">
        <f>+'SECURED LOANS'!BY89</f>
        <v>29474999.13999998</v>
      </c>
      <c r="CV31" s="14">
        <f t="shared" si="19"/>
        <v>0.12250017848557052</v>
      </c>
      <c r="CW31" s="10">
        <f>+'SECURED LOANS'!CA89</f>
        <v>853</v>
      </c>
      <c r="CX31" s="14">
        <f t="shared" si="20"/>
        <v>0.019517217709644204</v>
      </c>
      <c r="CY31" s="34"/>
      <c r="CZ31" s="34"/>
    </row>
    <row r="32" spans="1:104" ht="12.75">
      <c r="A32" s="8"/>
      <c r="B32" s="12"/>
      <c r="C32" s="12"/>
      <c r="D32" s="9"/>
      <c r="E32" s="8"/>
      <c r="F32" s="10"/>
      <c r="G32" s="8"/>
      <c r="H32" s="8"/>
      <c r="I32" s="9"/>
      <c r="J32" s="8"/>
      <c r="K32" s="10"/>
      <c r="L32" s="8"/>
      <c r="M32" s="8"/>
      <c r="N32" s="10"/>
      <c r="O32" s="8"/>
      <c r="P32" s="9"/>
      <c r="Q32" s="8"/>
      <c r="R32" s="10"/>
      <c r="S32" s="8"/>
      <c r="T32" s="8"/>
      <c r="U32" s="10"/>
      <c r="V32" s="8"/>
      <c r="W32" s="9"/>
      <c r="X32" s="8"/>
      <c r="Y32" s="10"/>
      <c r="Z32" s="14"/>
      <c r="AA32" s="8"/>
      <c r="AB32" s="10"/>
      <c r="AC32" s="8"/>
      <c r="AD32" s="34"/>
      <c r="AE32" s="9"/>
      <c r="AF32" s="14"/>
      <c r="AG32" s="10"/>
      <c r="AH32" s="14"/>
      <c r="AI32" s="8"/>
      <c r="AJ32" s="10"/>
      <c r="AK32" s="8"/>
      <c r="AL32" s="9"/>
      <c r="AM32" s="14"/>
      <c r="AN32" s="10"/>
      <c r="AO32" s="14"/>
      <c r="AP32" s="8"/>
      <c r="AQ32" s="10"/>
      <c r="AR32" s="8"/>
      <c r="AS32" s="9"/>
      <c r="AT32" s="14"/>
      <c r="AU32" s="10"/>
      <c r="AV32" s="14"/>
      <c r="AW32" s="8"/>
      <c r="AX32" s="10"/>
      <c r="AY32" s="8"/>
      <c r="AZ32" s="9"/>
      <c r="BA32" s="14"/>
      <c r="BB32" s="10"/>
      <c r="BC32" s="14"/>
      <c r="BD32" s="8"/>
      <c r="BE32" s="10"/>
      <c r="BF32" s="8"/>
      <c r="BG32" s="9"/>
      <c r="BH32" s="14"/>
      <c r="BI32" s="10"/>
      <c r="BJ32" s="14"/>
      <c r="BK32" s="8"/>
      <c r="BL32" s="10"/>
      <c r="BM32" s="8"/>
      <c r="BN32" s="9"/>
      <c r="BO32" s="14"/>
      <c r="BP32" s="10"/>
      <c r="BQ32" s="14"/>
      <c r="BR32" s="8"/>
      <c r="BS32" s="10"/>
      <c r="BT32" s="8"/>
      <c r="BU32" s="9"/>
      <c r="BV32" s="14"/>
      <c r="BW32" s="10"/>
      <c r="BX32" s="14"/>
      <c r="BY32" s="8"/>
      <c r="BZ32" s="10"/>
      <c r="CA32" s="8"/>
      <c r="CB32" s="9"/>
      <c r="CC32" s="14"/>
      <c r="CD32" s="10"/>
      <c r="CE32" s="14"/>
      <c r="CF32" s="8"/>
      <c r="CG32" s="10"/>
      <c r="CH32" s="8"/>
      <c r="CI32" s="9"/>
      <c r="CJ32" s="14"/>
      <c r="CK32" s="10"/>
      <c r="CL32" s="14"/>
      <c r="CM32" s="8"/>
      <c r="CN32" s="10"/>
      <c r="CO32" s="9"/>
      <c r="CP32" s="14"/>
      <c r="CQ32" s="10"/>
      <c r="CR32" s="14"/>
      <c r="CS32" s="34"/>
      <c r="CT32" s="34"/>
      <c r="CU32" s="9"/>
      <c r="CV32" s="14"/>
      <c r="CW32" s="10"/>
      <c r="CX32" s="14"/>
      <c r="CY32" s="34"/>
      <c r="CZ32" s="34"/>
    </row>
    <row r="33" spans="1:104" ht="13.5" thickBot="1">
      <c r="A33" s="8"/>
      <c r="B33" s="8"/>
      <c r="C33" s="8"/>
      <c r="D33" s="21">
        <f>SUM(D19:D32)</f>
        <v>203798838.20000008</v>
      </c>
      <c r="E33" s="12"/>
      <c r="F33" s="22">
        <f>SUM(F19:F32)</f>
        <v>100970</v>
      </c>
      <c r="G33" s="23"/>
      <c r="H33" s="23"/>
      <c r="I33" s="21">
        <f>SUM(I19:I32)</f>
        <v>174725987.59999996</v>
      </c>
      <c r="J33" s="12"/>
      <c r="K33" s="22">
        <f>SUM(K19:K32)</f>
        <v>81454</v>
      </c>
      <c r="L33" s="23"/>
      <c r="M33" s="12"/>
      <c r="N33" s="31"/>
      <c r="O33" s="23"/>
      <c r="P33" s="21">
        <f>SUM(P19:P32)</f>
        <v>224992790.2900001</v>
      </c>
      <c r="Q33" s="12"/>
      <c r="R33" s="22">
        <f>SUM(R19:R32)</f>
        <v>89803</v>
      </c>
      <c r="S33" s="23"/>
      <c r="T33" s="12"/>
      <c r="U33" s="31"/>
      <c r="V33" s="23"/>
      <c r="W33" s="21">
        <f>SUM(W19:W32)</f>
        <v>235112271.32</v>
      </c>
      <c r="X33" s="12"/>
      <c r="Y33" s="22">
        <f>SUM(Y19:Y32)</f>
        <v>83372</v>
      </c>
      <c r="Z33" s="81"/>
      <c r="AA33" s="12"/>
      <c r="AB33" s="31"/>
      <c r="AC33" s="23"/>
      <c r="AD33" s="34"/>
      <c r="AE33" s="21">
        <f>SUM(AE19:AE32)</f>
        <v>232371380.87000003</v>
      </c>
      <c r="AF33" s="81"/>
      <c r="AG33" s="22">
        <f>SUM(AG19:AG32)</f>
        <v>76450</v>
      </c>
      <c r="AH33" s="81"/>
      <c r="AI33" s="12"/>
      <c r="AJ33" s="31"/>
      <c r="AK33" s="23"/>
      <c r="AL33" s="21">
        <f>SUM(AL19:AL32)</f>
        <v>228527846.31000003</v>
      </c>
      <c r="AM33" s="81"/>
      <c r="AN33" s="22">
        <f>SUM(AN19:AN32)</f>
        <v>74199</v>
      </c>
      <c r="AO33" s="81"/>
      <c r="AP33" s="12"/>
      <c r="AQ33" s="31"/>
      <c r="AR33" s="23"/>
      <c r="AS33" s="21">
        <f>SUM(AS19:AS32)</f>
        <v>225951584.05999997</v>
      </c>
      <c r="AT33" s="81"/>
      <c r="AU33" s="22">
        <f>SUM(AU19:AU32)</f>
        <v>70439</v>
      </c>
      <c r="AV33" s="81"/>
      <c r="AW33" s="12"/>
      <c r="AX33" s="31"/>
      <c r="AY33" s="23"/>
      <c r="AZ33" s="21">
        <f>SUM(AZ19:AZ32)</f>
        <v>264172516.9299999</v>
      </c>
      <c r="BA33" s="81"/>
      <c r="BB33" s="22">
        <f>SUM(BB19:BB32)</f>
        <v>73629</v>
      </c>
      <c r="BC33" s="81"/>
      <c r="BD33" s="12"/>
      <c r="BE33" s="31"/>
      <c r="BF33" s="23"/>
      <c r="BG33" s="21">
        <f>SUM(BG19:BG32)</f>
        <v>236615652.4100001</v>
      </c>
      <c r="BH33" s="81"/>
      <c r="BI33" s="22">
        <f>SUM(BI19:BI32)</f>
        <v>64537</v>
      </c>
      <c r="BJ33" s="81"/>
      <c r="BK33" s="12"/>
      <c r="BL33" s="31"/>
      <c r="BM33" s="23"/>
      <c r="BN33" s="21">
        <f>SUM(BN19:BN32)</f>
        <v>217109230.72000006</v>
      </c>
      <c r="BO33" s="81"/>
      <c r="BP33" s="22">
        <f>SUM(BP19:BP32)</f>
        <v>58151</v>
      </c>
      <c r="BQ33" s="81"/>
      <c r="BR33" s="12"/>
      <c r="BS33" s="31"/>
      <c r="BT33" s="23"/>
      <c r="BU33" s="21">
        <f>SUM(BU19:BU32)</f>
        <v>232085260.53000003</v>
      </c>
      <c r="BV33" s="81"/>
      <c r="BW33" s="22">
        <f>SUM(BW19:BW32)</f>
        <v>55837</v>
      </c>
      <c r="BX33" s="81"/>
      <c r="BY33" s="12"/>
      <c r="BZ33" s="31"/>
      <c r="CA33" s="23"/>
      <c r="CB33" s="21">
        <f>SUM(CB19:CB32)</f>
        <v>232836553.6800001</v>
      </c>
      <c r="CC33" s="81"/>
      <c r="CD33" s="22">
        <f>SUM(CD19:CD32)</f>
        <v>54858</v>
      </c>
      <c r="CE33" s="81"/>
      <c r="CF33" s="12"/>
      <c r="CG33" s="31"/>
      <c r="CH33" s="23"/>
      <c r="CI33" s="21">
        <f>SUM(CI19:CI32)</f>
        <v>223521056.65000007</v>
      </c>
      <c r="CJ33" s="81"/>
      <c r="CK33" s="22">
        <f>SUM(CK19:CK32)</f>
        <v>47076</v>
      </c>
      <c r="CL33" s="81"/>
      <c r="CM33" s="12"/>
      <c r="CN33" s="31"/>
      <c r="CO33" s="21">
        <f>SUM(CO19:CO32)</f>
        <v>212871306.38000003</v>
      </c>
      <c r="CP33" s="81"/>
      <c r="CQ33" s="22">
        <f>SUM(CQ19:CQ32)</f>
        <v>40257</v>
      </c>
      <c r="CR33" s="81"/>
      <c r="CS33" s="34"/>
      <c r="CT33" s="34"/>
      <c r="CU33" s="21">
        <f>SUM(CU19:CU32)</f>
        <v>240611887.3</v>
      </c>
      <c r="CV33" s="81"/>
      <c r="CW33" s="22">
        <f>SUM(CW19:CW32)</f>
        <v>43705</v>
      </c>
      <c r="CX33" s="81"/>
      <c r="CY33" s="34"/>
      <c r="CZ33" s="34"/>
    </row>
    <row r="34" spans="1:104" ht="13.5" thickTop="1">
      <c r="A34" s="19"/>
      <c r="B34" s="8"/>
      <c r="C34" s="8"/>
      <c r="D34" s="9"/>
      <c r="E34" s="8"/>
      <c r="F34" s="10"/>
      <c r="G34" s="8"/>
      <c r="H34" s="8"/>
      <c r="I34" s="9"/>
      <c r="J34" s="8"/>
      <c r="K34" s="10"/>
      <c r="L34" s="8"/>
      <c r="M34" s="8"/>
      <c r="N34" s="10"/>
      <c r="O34" s="8"/>
      <c r="P34" s="9"/>
      <c r="Q34" s="8"/>
      <c r="R34" s="10"/>
      <c r="S34" s="8"/>
      <c r="T34" s="8"/>
      <c r="U34" s="10"/>
      <c r="V34" s="8"/>
      <c r="W34" s="9"/>
      <c r="X34" s="8"/>
      <c r="Y34" s="10"/>
      <c r="Z34" s="14"/>
      <c r="AA34" s="8"/>
      <c r="AB34" s="10"/>
      <c r="AC34" s="8"/>
      <c r="AD34" s="34"/>
      <c r="AE34" s="9"/>
      <c r="AF34" s="14"/>
      <c r="AG34" s="10"/>
      <c r="AH34" s="14"/>
      <c r="AI34" s="8"/>
      <c r="AJ34" s="10"/>
      <c r="AK34" s="8"/>
      <c r="AL34" s="9"/>
      <c r="AM34" s="14"/>
      <c r="AN34" s="10"/>
      <c r="AO34" s="14"/>
      <c r="AP34" s="8"/>
      <c r="AQ34" s="10"/>
      <c r="AR34" s="8"/>
      <c r="AS34" s="9"/>
      <c r="AT34" s="14"/>
      <c r="AU34" s="10"/>
      <c r="AV34" s="14"/>
      <c r="AW34" s="8"/>
      <c r="AX34" s="10"/>
      <c r="AY34" s="8"/>
      <c r="AZ34" s="9"/>
      <c r="BA34" s="14"/>
      <c r="BB34" s="10"/>
      <c r="BC34" s="14"/>
      <c r="BD34" s="8"/>
      <c r="BE34" s="10"/>
      <c r="BF34" s="8"/>
      <c r="BG34" s="9"/>
      <c r="BH34" s="14"/>
      <c r="BI34" s="10"/>
      <c r="BJ34" s="14"/>
      <c r="BK34" s="8"/>
      <c r="BL34" s="10"/>
      <c r="BM34" s="8"/>
      <c r="BN34" s="9"/>
      <c r="BO34" s="14"/>
      <c r="BP34" s="10"/>
      <c r="BQ34" s="14"/>
      <c r="BR34" s="8"/>
      <c r="BS34" s="10"/>
      <c r="BT34" s="8"/>
      <c r="BU34" s="9"/>
      <c r="BV34" s="14"/>
      <c r="BW34" s="10"/>
      <c r="BX34" s="14"/>
      <c r="BY34" s="8"/>
      <c r="BZ34" s="10"/>
      <c r="CA34" s="8"/>
      <c r="CB34" s="9"/>
      <c r="CC34" s="14"/>
      <c r="CD34" s="10"/>
      <c r="CE34" s="14"/>
      <c r="CF34" s="8"/>
      <c r="CG34" s="10"/>
      <c r="CH34" s="8"/>
      <c r="CI34" s="9"/>
      <c r="CJ34" s="14"/>
      <c r="CK34" s="10"/>
      <c r="CL34" s="14"/>
      <c r="CM34" s="8"/>
      <c r="CN34" s="10"/>
      <c r="CO34" s="9"/>
      <c r="CP34" s="14"/>
      <c r="CQ34" s="10"/>
      <c r="CR34" s="14"/>
      <c r="CS34" s="34"/>
      <c r="CT34" s="34"/>
      <c r="CU34" s="9"/>
      <c r="CV34" s="14"/>
      <c r="CW34" s="10"/>
      <c r="CX34" s="14"/>
      <c r="CY34" s="34"/>
      <c r="CZ34" s="34"/>
    </row>
    <row r="35" spans="1:104" ht="12.75">
      <c r="A35" s="19"/>
      <c r="B35" s="8"/>
      <c r="C35" s="8"/>
      <c r="D35" s="9"/>
      <c r="E35" s="8"/>
      <c r="F35" s="10"/>
      <c r="G35" s="8"/>
      <c r="H35" s="8"/>
      <c r="I35" s="19"/>
      <c r="J35" s="8"/>
      <c r="K35" s="8"/>
      <c r="L35" s="9"/>
      <c r="M35" s="8"/>
      <c r="N35" s="10"/>
      <c r="O35" s="8"/>
      <c r="P35" s="19"/>
      <c r="Q35" s="8"/>
      <c r="R35" s="8"/>
      <c r="S35" s="9"/>
      <c r="T35" s="8"/>
      <c r="U35" s="10"/>
      <c r="V35" s="8"/>
      <c r="W35" s="19"/>
      <c r="X35" s="8"/>
      <c r="Y35" s="8"/>
      <c r="Z35" s="14"/>
      <c r="AA35" s="8"/>
      <c r="AB35" s="10"/>
      <c r="AC35" s="8"/>
      <c r="AD35" s="34"/>
      <c r="AE35" s="19"/>
      <c r="AF35" s="14"/>
      <c r="AG35" s="8"/>
      <c r="AH35" s="14"/>
      <c r="AI35" s="8"/>
      <c r="AJ35" s="10"/>
      <c r="AK35" s="8"/>
      <c r="AL35" s="19"/>
      <c r="AM35" s="14"/>
      <c r="AN35" s="8"/>
      <c r="AO35" s="14"/>
      <c r="AP35" s="8"/>
      <c r="AQ35" s="10"/>
      <c r="AR35" s="8"/>
      <c r="AS35" s="19"/>
      <c r="AT35" s="14"/>
      <c r="AU35" s="8"/>
      <c r="AV35" s="14"/>
      <c r="AW35" s="8"/>
      <c r="AX35" s="10"/>
      <c r="AY35" s="8"/>
      <c r="AZ35" s="19"/>
      <c r="BA35" s="14"/>
      <c r="BB35" s="8"/>
      <c r="BC35" s="14"/>
      <c r="BD35" s="8"/>
      <c r="BE35" s="10"/>
      <c r="BF35" s="8"/>
      <c r="BG35" s="19"/>
      <c r="BH35" s="14"/>
      <c r="BI35" s="91"/>
      <c r="BJ35" s="14"/>
      <c r="BK35" s="8"/>
      <c r="BL35" s="10"/>
      <c r="BM35" s="8"/>
      <c r="BN35" s="19"/>
      <c r="BO35" s="14"/>
      <c r="BP35" s="91"/>
      <c r="BQ35" s="14"/>
      <c r="BR35" s="8"/>
      <c r="BS35" s="10"/>
      <c r="BT35" s="8"/>
      <c r="BU35" s="19"/>
      <c r="BV35" s="14"/>
      <c r="BW35" s="91"/>
      <c r="BX35" s="14"/>
      <c r="BY35" s="8"/>
      <c r="BZ35" s="10"/>
      <c r="CA35" s="8"/>
      <c r="CB35" s="19"/>
      <c r="CC35" s="14"/>
      <c r="CD35" s="91"/>
      <c r="CE35" s="14"/>
      <c r="CF35" s="8"/>
      <c r="CG35" s="10"/>
      <c r="CH35" s="8"/>
      <c r="CI35" s="19"/>
      <c r="CJ35" s="14"/>
      <c r="CK35" s="91"/>
      <c r="CL35" s="14"/>
      <c r="CM35" s="8"/>
      <c r="CN35" s="10"/>
      <c r="CO35" s="98"/>
      <c r="CP35" s="14"/>
      <c r="CQ35" s="91"/>
      <c r="CR35" s="14"/>
      <c r="CS35" s="34"/>
      <c r="CT35" s="34"/>
      <c r="CU35" s="98"/>
      <c r="CV35" s="14"/>
      <c r="CW35" s="91"/>
      <c r="CX35" s="14"/>
      <c r="CY35" s="34"/>
      <c r="CZ35" s="34"/>
    </row>
    <row r="36" spans="1:104" ht="12.75">
      <c r="A36" s="19" t="s">
        <v>102</v>
      </c>
      <c r="B36" s="8"/>
      <c r="C36" s="8"/>
      <c r="D36" s="9"/>
      <c r="E36" s="8"/>
      <c r="F36" s="10"/>
      <c r="G36" s="8"/>
      <c r="H36" s="8"/>
      <c r="I36" s="19" t="s">
        <v>102</v>
      </c>
      <c r="J36" s="8"/>
      <c r="K36" s="8"/>
      <c r="L36" s="9"/>
      <c r="M36" s="8"/>
      <c r="N36" s="10"/>
      <c r="O36" s="8"/>
      <c r="P36" s="19" t="s">
        <v>102</v>
      </c>
      <c r="Q36" s="8"/>
      <c r="R36" s="8"/>
      <c r="S36" s="9"/>
      <c r="T36" s="8"/>
      <c r="U36" s="10"/>
      <c r="V36" s="8"/>
      <c r="W36" s="19" t="s">
        <v>102</v>
      </c>
      <c r="X36" s="8"/>
      <c r="Y36" s="8"/>
      <c r="Z36" s="14"/>
      <c r="AA36" s="8"/>
      <c r="AB36" s="10"/>
      <c r="AC36" s="8"/>
      <c r="AD36" s="34"/>
      <c r="AE36" s="19" t="s">
        <v>102</v>
      </c>
      <c r="AF36" s="14"/>
      <c r="AG36" s="8"/>
      <c r="AH36" s="14"/>
      <c r="AI36" s="8"/>
      <c r="AJ36" s="10"/>
      <c r="AK36" s="8"/>
      <c r="AL36" s="19" t="s">
        <v>102</v>
      </c>
      <c r="AM36" s="14"/>
      <c r="AN36" s="8"/>
      <c r="AO36" s="14"/>
      <c r="AP36" s="8"/>
      <c r="AQ36" s="10"/>
      <c r="AR36" s="8"/>
      <c r="AS36" s="19" t="s">
        <v>102</v>
      </c>
      <c r="AT36" s="14"/>
      <c r="AU36" s="8"/>
      <c r="AV36" s="14"/>
      <c r="AW36" s="8"/>
      <c r="AX36" s="10"/>
      <c r="AY36" s="8"/>
      <c r="AZ36" s="19" t="s">
        <v>102</v>
      </c>
      <c r="BA36" s="14"/>
      <c r="BB36" s="8"/>
      <c r="BC36" s="14"/>
      <c r="BD36" s="8"/>
      <c r="BE36" s="10"/>
      <c r="BF36" s="8"/>
      <c r="BG36" s="19" t="s">
        <v>102</v>
      </c>
      <c r="BH36" s="14"/>
      <c r="BI36" s="91"/>
      <c r="BJ36" s="14"/>
      <c r="BK36" s="8"/>
      <c r="BL36" s="10"/>
      <c r="BM36" s="8"/>
      <c r="BN36" s="19" t="s">
        <v>102</v>
      </c>
      <c r="BO36" s="14"/>
      <c r="BP36" s="91"/>
      <c r="BQ36" s="14"/>
      <c r="BR36" s="8"/>
      <c r="BS36" s="10"/>
      <c r="BT36" s="8"/>
      <c r="BU36" s="19" t="s">
        <v>102</v>
      </c>
      <c r="BV36" s="14"/>
      <c r="BW36" s="91"/>
      <c r="BX36" s="14"/>
      <c r="BY36" s="8"/>
      <c r="BZ36" s="10"/>
      <c r="CA36" s="8"/>
      <c r="CB36" s="19" t="s">
        <v>102</v>
      </c>
      <c r="CC36" s="14"/>
      <c r="CD36" s="91"/>
      <c r="CE36" s="14"/>
      <c r="CF36" s="8"/>
      <c r="CG36" s="10"/>
      <c r="CH36" s="8"/>
      <c r="CI36" s="19" t="s">
        <v>102</v>
      </c>
      <c r="CJ36" s="14"/>
      <c r="CK36" s="91"/>
      <c r="CL36" s="14"/>
      <c r="CM36" s="8"/>
      <c r="CN36" s="10"/>
      <c r="CO36" s="98" t="s">
        <v>178</v>
      </c>
      <c r="CP36" s="14"/>
      <c r="CQ36" s="91"/>
      <c r="CR36" s="14"/>
      <c r="CS36" s="34"/>
      <c r="CT36" s="34"/>
      <c r="CU36" s="98" t="s">
        <v>178</v>
      </c>
      <c r="CV36" s="14"/>
      <c r="CW36" s="91" t="s">
        <v>178</v>
      </c>
      <c r="CX36" s="14"/>
      <c r="CY36" s="34"/>
      <c r="CZ36" s="34"/>
    </row>
    <row r="37" spans="1:104" ht="12.75">
      <c r="A37" s="19"/>
      <c r="B37" s="8"/>
      <c r="C37" s="8"/>
      <c r="D37" s="9"/>
      <c r="E37" s="8"/>
      <c r="F37" s="10"/>
      <c r="G37" s="8"/>
      <c r="H37" s="8"/>
      <c r="I37" s="19"/>
      <c r="J37" s="8"/>
      <c r="K37" s="8"/>
      <c r="L37" s="9"/>
      <c r="M37" s="8"/>
      <c r="N37" s="10"/>
      <c r="O37" s="8"/>
      <c r="P37" s="19"/>
      <c r="Q37" s="8"/>
      <c r="R37" s="8"/>
      <c r="S37" s="9"/>
      <c r="T37" s="8"/>
      <c r="U37" s="10"/>
      <c r="V37" s="8"/>
      <c r="W37" s="19"/>
      <c r="X37" s="8"/>
      <c r="Y37" s="8"/>
      <c r="Z37" s="14"/>
      <c r="AA37" s="8"/>
      <c r="AB37" s="10"/>
      <c r="AC37" s="8"/>
      <c r="AD37" s="34"/>
      <c r="AE37" s="19"/>
      <c r="AF37" s="14"/>
      <c r="AG37" s="8"/>
      <c r="AH37" s="14"/>
      <c r="AI37" s="8"/>
      <c r="AJ37" s="10"/>
      <c r="AK37" s="8"/>
      <c r="AL37" s="19"/>
      <c r="AM37" s="14"/>
      <c r="AN37" s="8"/>
      <c r="AO37" s="14"/>
      <c r="AP37" s="8"/>
      <c r="AQ37" s="10"/>
      <c r="AR37" s="8"/>
      <c r="AS37" s="19"/>
      <c r="AT37" s="14"/>
      <c r="AU37" s="8"/>
      <c r="AV37" s="14"/>
      <c r="AW37" s="8"/>
      <c r="AX37" s="10"/>
      <c r="AY37" s="8"/>
      <c r="AZ37" s="19"/>
      <c r="BA37" s="14"/>
      <c r="BB37" s="8"/>
      <c r="BC37" s="14"/>
      <c r="BD37" s="8"/>
      <c r="BE37" s="10"/>
      <c r="BF37" s="8"/>
      <c r="BG37" s="19"/>
      <c r="BH37" s="14"/>
      <c r="BI37" s="91"/>
      <c r="BJ37" s="14"/>
      <c r="BK37" s="8"/>
      <c r="BL37" s="10"/>
      <c r="BM37" s="8"/>
      <c r="BN37" s="19"/>
      <c r="BO37" s="14"/>
      <c r="BP37" s="91"/>
      <c r="BQ37" s="14"/>
      <c r="BR37" s="8"/>
      <c r="BS37" s="10"/>
      <c r="BT37" s="8"/>
      <c r="BU37" s="19"/>
      <c r="BV37" s="14"/>
      <c r="BW37" s="91"/>
      <c r="BX37" s="14"/>
      <c r="BY37" s="8"/>
      <c r="BZ37" s="10"/>
      <c r="CA37" s="8"/>
      <c r="CB37" s="19"/>
      <c r="CC37" s="14"/>
      <c r="CD37" s="91"/>
      <c r="CE37" s="14"/>
      <c r="CF37" s="8"/>
      <c r="CG37" s="10"/>
      <c r="CH37" s="8"/>
      <c r="CI37" s="19"/>
      <c r="CJ37" s="14"/>
      <c r="CK37" s="91"/>
      <c r="CL37" s="14"/>
      <c r="CM37" s="8"/>
      <c r="CN37" s="10"/>
      <c r="CO37" s="98"/>
      <c r="CP37" s="14"/>
      <c r="CQ37" s="91"/>
      <c r="CR37" s="14"/>
      <c r="CS37" s="34"/>
      <c r="CT37" s="34"/>
      <c r="CU37" s="98"/>
      <c r="CV37" s="14"/>
      <c r="CW37" s="91"/>
      <c r="CX37" s="14"/>
      <c r="CY37" s="34"/>
      <c r="CZ37" s="34"/>
    </row>
    <row r="38" spans="1:104" s="29" customFormat="1" ht="12.75">
      <c r="A38" s="25"/>
      <c r="B38" s="26"/>
      <c r="C38" s="26"/>
      <c r="D38" s="27" t="s">
        <v>99</v>
      </c>
      <c r="E38" s="26" t="s">
        <v>100</v>
      </c>
      <c r="F38" s="28" t="s">
        <v>101</v>
      </c>
      <c r="G38" s="26" t="s">
        <v>100</v>
      </c>
      <c r="H38" s="26"/>
      <c r="I38" s="27" t="s">
        <v>99</v>
      </c>
      <c r="J38" s="26" t="s">
        <v>100</v>
      </c>
      <c r="K38" s="28" t="s">
        <v>101</v>
      </c>
      <c r="L38" s="26" t="s">
        <v>100</v>
      </c>
      <c r="M38" s="53"/>
      <c r="N38" s="31"/>
      <c r="O38" s="53"/>
      <c r="P38" s="27" t="s">
        <v>99</v>
      </c>
      <c r="Q38" s="26" t="s">
        <v>100</v>
      </c>
      <c r="R38" s="28" t="s">
        <v>101</v>
      </c>
      <c r="S38" s="26" t="s">
        <v>100</v>
      </c>
      <c r="T38" s="53"/>
      <c r="U38" s="31"/>
      <c r="V38" s="53"/>
      <c r="W38" s="27" t="s">
        <v>99</v>
      </c>
      <c r="X38" s="26" t="s">
        <v>100</v>
      </c>
      <c r="Y38" s="28" t="s">
        <v>101</v>
      </c>
      <c r="Z38" s="82" t="e">
        <f>+Z17</f>
        <v>#REF!</v>
      </c>
      <c r="AA38" s="53"/>
      <c r="AB38" s="31"/>
      <c r="AC38" s="53"/>
      <c r="AD38" s="25"/>
      <c r="AE38" s="27" t="s">
        <v>99</v>
      </c>
      <c r="AF38" s="82" t="s">
        <v>100</v>
      </c>
      <c r="AG38" s="28" t="s">
        <v>101</v>
      </c>
      <c r="AH38" s="82" t="str">
        <f>+AH17</f>
        <v>PER CENT</v>
      </c>
      <c r="AI38" s="53"/>
      <c r="AJ38" s="31"/>
      <c r="AK38" s="53"/>
      <c r="AL38" s="27" t="s">
        <v>99</v>
      </c>
      <c r="AM38" s="82" t="s">
        <v>100</v>
      </c>
      <c r="AN38" s="28" t="s">
        <v>101</v>
      </c>
      <c r="AO38" s="82" t="s">
        <v>152</v>
      </c>
      <c r="AP38" s="53"/>
      <c r="AQ38" s="31"/>
      <c r="AR38" s="53"/>
      <c r="AS38" s="27" t="s">
        <v>99</v>
      </c>
      <c r="AT38" s="82" t="s">
        <v>100</v>
      </c>
      <c r="AU38" s="28" t="s">
        <v>101</v>
      </c>
      <c r="AV38" s="82" t="s">
        <v>165</v>
      </c>
      <c r="AW38" s="53"/>
      <c r="AX38" s="31"/>
      <c r="AY38" s="53"/>
      <c r="AZ38" s="89" t="s">
        <v>99</v>
      </c>
      <c r="BA38" s="44" t="s">
        <v>100</v>
      </c>
      <c r="BB38" s="88" t="s">
        <v>101</v>
      </c>
      <c r="BC38" s="94" t="s">
        <v>100</v>
      </c>
      <c r="BD38" s="53"/>
      <c r="BE38" s="31"/>
      <c r="BF38" s="53"/>
      <c r="BG38" s="89" t="s">
        <v>99</v>
      </c>
      <c r="BH38" s="94" t="s">
        <v>100</v>
      </c>
      <c r="BI38" s="88" t="s">
        <v>99</v>
      </c>
      <c r="BJ38" s="94" t="s">
        <v>100</v>
      </c>
      <c r="BK38" s="53"/>
      <c r="BL38" s="31"/>
      <c r="BM38" s="53"/>
      <c r="BN38" s="89" t="s">
        <v>99</v>
      </c>
      <c r="BO38" s="94" t="s">
        <v>100</v>
      </c>
      <c r="BP38" s="88" t="s">
        <v>99</v>
      </c>
      <c r="BQ38" s="94" t="s">
        <v>100</v>
      </c>
      <c r="BR38" s="53"/>
      <c r="BS38" s="31"/>
      <c r="BT38" s="53"/>
      <c r="BU38" s="89" t="s">
        <v>99</v>
      </c>
      <c r="BV38" s="94" t="s">
        <v>100</v>
      </c>
      <c r="BW38" s="88" t="s">
        <v>99</v>
      </c>
      <c r="BX38" s="94" t="s">
        <v>100</v>
      </c>
      <c r="BY38" s="53"/>
      <c r="BZ38" s="31"/>
      <c r="CA38" s="53"/>
      <c r="CB38" s="89" t="s">
        <v>99</v>
      </c>
      <c r="CC38" s="94" t="s">
        <v>100</v>
      </c>
      <c r="CD38" s="88" t="s">
        <v>99</v>
      </c>
      <c r="CE38" s="94" t="s">
        <v>100</v>
      </c>
      <c r="CF38" s="53"/>
      <c r="CG38" s="31"/>
      <c r="CH38" s="53"/>
      <c r="CI38" s="89" t="s">
        <v>99</v>
      </c>
      <c r="CJ38" s="94" t="s">
        <v>100</v>
      </c>
      <c r="CK38" s="88" t="s">
        <v>99</v>
      </c>
      <c r="CL38" s="94" t="s">
        <v>100</v>
      </c>
      <c r="CM38" s="53"/>
      <c r="CN38" s="31"/>
      <c r="CO38" s="89" t="s">
        <v>99</v>
      </c>
      <c r="CP38" s="94" t="s">
        <v>100</v>
      </c>
      <c r="CQ38" s="88" t="s">
        <v>99</v>
      </c>
      <c r="CR38" s="94" t="s">
        <v>100</v>
      </c>
      <c r="CS38" s="25"/>
      <c r="CT38" s="25"/>
      <c r="CU38" s="89" t="s">
        <v>99</v>
      </c>
      <c r="CV38" s="94" t="s">
        <v>100</v>
      </c>
      <c r="CW38" s="88" t="s">
        <v>99</v>
      </c>
      <c r="CX38" s="94" t="s">
        <v>100</v>
      </c>
      <c r="CY38" s="25"/>
      <c r="CZ38" s="25"/>
    </row>
    <row r="39" spans="1:104" ht="12.75">
      <c r="A39" s="12"/>
      <c r="B39" s="8"/>
      <c r="C39" s="8"/>
      <c r="D39" s="9"/>
      <c r="E39" s="8"/>
      <c r="F39" s="10"/>
      <c r="G39" s="8"/>
      <c r="H39" s="8"/>
      <c r="I39" s="9"/>
      <c r="J39" s="8"/>
      <c r="K39" s="10"/>
      <c r="L39" s="8"/>
      <c r="M39" s="54"/>
      <c r="N39" s="55"/>
      <c r="O39" s="54"/>
      <c r="P39" s="9"/>
      <c r="Q39" s="8"/>
      <c r="R39" s="10"/>
      <c r="S39" s="8"/>
      <c r="T39" s="54"/>
      <c r="U39" s="55"/>
      <c r="V39" s="54"/>
      <c r="W39" s="9"/>
      <c r="X39" s="8"/>
      <c r="Y39" s="10"/>
      <c r="Z39" s="14"/>
      <c r="AA39" s="54"/>
      <c r="AB39" s="55"/>
      <c r="AC39" s="54"/>
      <c r="AD39" s="34"/>
      <c r="AE39" s="9"/>
      <c r="AF39" s="14"/>
      <c r="AG39" s="10"/>
      <c r="AH39" s="14"/>
      <c r="AI39" s="54"/>
      <c r="AJ39" s="55"/>
      <c r="AK39" s="54"/>
      <c r="AL39" s="9"/>
      <c r="AM39" s="14"/>
      <c r="AN39" s="10"/>
      <c r="AO39" s="14"/>
      <c r="AP39" s="54"/>
      <c r="AQ39" s="55"/>
      <c r="AR39" s="54"/>
      <c r="AS39" s="9"/>
      <c r="AT39" s="14"/>
      <c r="AU39" s="10"/>
      <c r="AV39" s="14"/>
      <c r="AW39" s="54"/>
      <c r="AX39" s="55"/>
      <c r="AY39" s="54"/>
      <c r="AZ39" s="9"/>
      <c r="BA39" s="14"/>
      <c r="BB39" s="10"/>
      <c r="BC39" s="14"/>
      <c r="BD39" s="54"/>
      <c r="BE39" s="55"/>
      <c r="BF39" s="54"/>
      <c r="BG39" s="9"/>
      <c r="BH39" s="14"/>
      <c r="BI39" s="10"/>
      <c r="BJ39" s="14"/>
      <c r="BK39" s="54"/>
      <c r="BL39" s="55"/>
      <c r="BM39" s="54"/>
      <c r="BN39" s="9"/>
      <c r="BO39" s="14"/>
      <c r="BP39" s="10"/>
      <c r="BQ39" s="14"/>
      <c r="BR39" s="54"/>
      <c r="BS39" s="55"/>
      <c r="BT39" s="54"/>
      <c r="BU39" s="9"/>
      <c r="BV39" s="14"/>
      <c r="BW39" s="10"/>
      <c r="BX39" s="14"/>
      <c r="BY39" s="54"/>
      <c r="BZ39" s="55"/>
      <c r="CA39" s="54"/>
      <c r="CB39" s="9"/>
      <c r="CC39" s="14"/>
      <c r="CD39" s="10"/>
      <c r="CE39" s="14"/>
      <c r="CF39" s="54"/>
      <c r="CG39" s="55"/>
      <c r="CH39" s="54"/>
      <c r="CI39" s="9"/>
      <c r="CJ39" s="14"/>
      <c r="CK39" s="10"/>
      <c r="CL39" s="14"/>
      <c r="CM39" s="54"/>
      <c r="CN39" s="55"/>
      <c r="CO39" s="9"/>
      <c r="CP39" s="14"/>
      <c r="CQ39" s="10"/>
      <c r="CR39" s="14"/>
      <c r="CS39" s="34"/>
      <c r="CT39" s="34"/>
      <c r="CU39" s="9"/>
      <c r="CV39" s="14"/>
      <c r="CW39" s="10"/>
      <c r="CX39" s="14"/>
      <c r="CY39" s="34"/>
      <c r="CZ39" s="34"/>
    </row>
    <row r="40" spans="1:104" ht="12.75">
      <c r="A40" s="8" t="s">
        <v>31</v>
      </c>
      <c r="B40" s="8"/>
      <c r="C40" s="8"/>
      <c r="D40" s="9">
        <f>+'SECURED LOANS'!D99+'RETAIL CREDIT'!D38+'UNSECURED LOANS'!D38+'CAR FINANCE'!D36</f>
        <v>16602614.96</v>
      </c>
      <c r="E40" s="14">
        <v>0.0815</v>
      </c>
      <c r="F40" s="10">
        <f>+'SECURED LOANS'!F99+'RETAIL CREDIT'!F38+'UNSECURED LOANS'!F38+'CAR FINANCE'!F36</f>
        <v>9272</v>
      </c>
      <c r="G40" s="14">
        <v>0.0918</v>
      </c>
      <c r="H40" s="14"/>
      <c r="I40" s="9">
        <v>13617740.69</v>
      </c>
      <c r="J40" s="14">
        <v>0.0779</v>
      </c>
      <c r="K40" s="10">
        <v>7018</v>
      </c>
      <c r="L40" s="14">
        <v>0.0862</v>
      </c>
      <c r="M40" s="56"/>
      <c r="N40" s="55"/>
      <c r="O40" s="56"/>
      <c r="P40" s="9">
        <f>+'SECURED LOANS'!Q99+'RETAIL CREDIT'!Q38+'UNSECURED LOANS'!R38+'CAR FINANCE'!P36</f>
        <v>18084101.810000014</v>
      </c>
      <c r="Q40" s="14">
        <f>+P40/$P$54</f>
        <v>0.08037636133447151</v>
      </c>
      <c r="R40" s="10">
        <f>+'SECURED LOANS'!S99+'RETAIL CREDIT'!S38+'UNSECURED LOANS'!T38+'CAR FINANCE'!R36</f>
        <v>8430</v>
      </c>
      <c r="S40" s="14">
        <f>+R40/$R$54</f>
        <v>0.09387214235604602</v>
      </c>
      <c r="T40" s="56"/>
      <c r="U40" s="55"/>
      <c r="V40" s="56"/>
      <c r="W40" s="9">
        <f>+'SECURED LOANS'!V99+'RETAIL CREDIT'!X38+'UNSECURED LOANS'!Y38+'CAR FINANCE'!W36</f>
        <v>19064231.840000015</v>
      </c>
      <c r="X40" s="14">
        <f>+W40/$P$54</f>
        <v>0.08473263438987334</v>
      </c>
      <c r="Y40" s="10">
        <f>+'SECURED LOANS'!X99+'RETAIL CREDIT'!Z38+'UNSECURED LOANS'!AA38+'CAR FINANCE'!Y36</f>
        <v>8134</v>
      </c>
      <c r="Z40" s="14">
        <f aca="true" t="shared" si="28" ref="Z40:Z52">+Y40/$Y$54</f>
        <v>0.09756273089286571</v>
      </c>
      <c r="AA40" s="56"/>
      <c r="AB40" s="55"/>
      <c r="AC40" s="56"/>
      <c r="AD40" s="34"/>
      <c r="AE40" s="9">
        <f>+'SECURED LOANS'!AA99+'RETAIL CREDIT'!AE38+'UNSECURED LOANS'!AF38+'CAR FINANCE'!AD36</f>
        <v>19388455.76000001</v>
      </c>
      <c r="AF40" s="14">
        <f aca="true" t="shared" si="29" ref="AF40:AF52">+AE40/$AE$54</f>
        <v>0.08343736516695605</v>
      </c>
      <c r="AG40" s="10">
        <f>+'SECURED LOANS'!AC99+'RETAIL CREDIT'!AG38+'UNSECURED LOANS'!AH38+'CAR FINANCE'!AF36</f>
        <v>7704</v>
      </c>
      <c r="AH40" s="14">
        <f aca="true" t="shared" si="30" ref="AH40:AH52">+AG40/$AG$54</f>
        <v>0.10077174623937214</v>
      </c>
      <c r="AI40" s="56"/>
      <c r="AJ40" s="55"/>
      <c r="AK40" s="56"/>
      <c r="AL40" s="9">
        <f>+'SECURED LOANS'!AF99+'RETAIL CREDIT'!AL38+'UNSECURED LOANS'!AM38+'CAR FINANCE'!AK36</f>
        <v>19266705.12</v>
      </c>
      <c r="AM40" s="14">
        <f aca="true" t="shared" si="31" ref="AM40:AM52">+AL40/$AL$54</f>
        <v>0.08430791009102913</v>
      </c>
      <c r="AN40" s="10">
        <f>+'SECURED LOANS'!AH99+'RETAIL CREDIT'!AN38+'UNSECURED LOANS'!AO38+'CAR FINANCE'!AM36</f>
        <v>7775</v>
      </c>
      <c r="AO40" s="14">
        <f aca="true" t="shared" si="32" ref="AO40:AO52">+AN40/$AN$54</f>
        <v>0.10478577878408064</v>
      </c>
      <c r="AP40" s="56"/>
      <c r="AQ40" s="55"/>
      <c r="AR40" s="56"/>
      <c r="AS40" s="9">
        <f>+'SECURED LOANS'!AK99+'RETAIL CREDIT'!AS38+'UNSECURED LOANS'!AT38+'CAR FINANCE'!AR36</f>
        <v>20546327.280000024</v>
      </c>
      <c r="AT40" s="14">
        <f aca="true" t="shared" si="33" ref="AT40:AT52">+AS40/$AS$54</f>
        <v>0.0909324330054003</v>
      </c>
      <c r="AU40" s="10">
        <f>+'SECURED LOANS'!AM99+'RETAIL CREDIT'!AU38+'UNSECURED LOANS'!AV38+'CAR FINANCE'!AT36</f>
        <v>7430</v>
      </c>
      <c r="AV40" s="14">
        <f aca="true" t="shared" si="34" ref="AV40:AV52">+AU40/$AU$54</f>
        <v>0.10548133846306733</v>
      </c>
      <c r="AW40" s="56"/>
      <c r="AX40" s="55"/>
      <c r="AY40" s="56"/>
      <c r="AZ40" s="9">
        <f>+'SECURED LOANS'!AP99+'RETAIL CREDIT'!AZ38+'UNSECURED LOANS'!BA38+'CAR FINANCE'!AY36</f>
        <v>24124531.380000003</v>
      </c>
      <c r="BA40" s="14">
        <f>+AZ40/$AZ$54</f>
        <v>0.09132112477238684</v>
      </c>
      <c r="BB40" s="10">
        <f>+'SECURED LOANS'!AR99+'RETAIL CREDIT'!BB38+'UNSECURED LOANS'!BC38+'CAR FINANCE'!BA36</f>
        <v>8687</v>
      </c>
      <c r="BC40" s="14">
        <f aca="true" t="shared" si="35" ref="BC40:BC52">+BB40/$BB$54</f>
        <v>0.11798340327859946</v>
      </c>
      <c r="BD40" s="56"/>
      <c r="BE40" s="55"/>
      <c r="BF40" s="56"/>
      <c r="BG40" s="9">
        <f>+'SECURED LOANS'!AU99+'RETAIL CREDIT'!BG38+'UNSECURED LOANS'!BH38+'CAR FINANCE'!BE36</f>
        <v>21231722.699999996</v>
      </c>
      <c r="BH40" s="14">
        <f aca="true" t="shared" si="36" ref="BH40:BH52">+BG40/$BG$54</f>
        <v>0.08973084613696794</v>
      </c>
      <c r="BI40" s="10">
        <f>+'SECURED LOANS'!AW99+'RETAIL CREDIT'!BI38+'UNSECURED LOANS'!BJ38+'CAR FINANCE'!BG36</f>
        <v>7482</v>
      </c>
      <c r="BJ40" s="14">
        <f aca="true" t="shared" si="37" ref="BJ40:BJ52">+BI40/$BI$54</f>
        <v>0.11593349551420115</v>
      </c>
      <c r="BK40" s="56"/>
      <c r="BL40" s="55"/>
      <c r="BM40" s="56"/>
      <c r="BN40" s="9">
        <f>+'SECURED LOANS'!AZ99+'RETAIL CREDIT'!BN38+'UNSECURED LOANS'!BO38+'CAR FINANCE'!BL36</f>
        <v>18929786.9</v>
      </c>
      <c r="BO40" s="14">
        <f aca="true" t="shared" si="38" ref="BO40:BO52">+BN40/$BN$54</f>
        <v>0.0871901523358684</v>
      </c>
      <c r="BP40" s="10">
        <f>+'SECURED LOANS'!BB99+'RETAIL CREDIT'!BP38+'UNSECURED LOANS'!BQ38+'CAR FINANCE'!BN36</f>
        <v>6489</v>
      </c>
      <c r="BQ40" s="14">
        <f aca="true" t="shared" si="39" ref="BQ40:BQ52">+BP40/$BP$54</f>
        <v>0.11158879468968719</v>
      </c>
      <c r="BR40" s="56"/>
      <c r="BS40" s="55"/>
      <c r="BT40" s="56"/>
      <c r="BU40" s="9">
        <f>+'SECURED LOANS'!BE99+'RETAIL CREDIT'!BU38+'UNSECURED LOANS'!BV38+'CAR FINANCE'!BS36</f>
        <v>18854797.250000007</v>
      </c>
      <c r="BV40" s="14">
        <f aca="true" t="shared" si="40" ref="BV40:BV52">+BU40/$BU$54</f>
        <v>0.08124082161418766</v>
      </c>
      <c r="BW40" s="10">
        <f>+'SECURED LOANS'!BG99+'RETAIL CREDIT'!BW38+'UNSECURED LOANS'!BX38+'CAR FINANCE'!BU36</f>
        <v>6288</v>
      </c>
      <c r="BX40" s="14">
        <f aca="true" t="shared" si="41" ref="BX40:BX52">+BW40/$BW$54</f>
        <v>0.11261350000895463</v>
      </c>
      <c r="BY40" s="56"/>
      <c r="BZ40" s="55"/>
      <c r="CA40" s="56"/>
      <c r="CB40" s="9">
        <f>+'SECURED LOANS'!BJ99+'RETAIL CREDIT'!CB38+'UNSECURED LOANS'!CC38+'CAR FINANCE'!BZ36</f>
        <v>18542253.480000008</v>
      </c>
      <c r="CC40" s="14">
        <f aca="true" t="shared" si="42" ref="CC40:CC52">+CB40/$CB$54</f>
        <v>0.07963635085186682</v>
      </c>
      <c r="CD40" s="10">
        <f>+'SECURED LOANS'!BL99+'RETAIL CREDIT'!CD38+'UNSECURED LOANS'!CE38+'CAR FINANCE'!CB36</f>
        <v>6395</v>
      </c>
      <c r="CE40" s="14">
        <f aca="true" t="shared" si="43" ref="CE40:CE52">+CD40/$CD$54</f>
        <v>0.11657369936928069</v>
      </c>
      <c r="CF40" s="56"/>
      <c r="CG40" s="55"/>
      <c r="CH40" s="56"/>
      <c r="CI40" s="9">
        <f>+'SECURED LOANS'!BO99+'RETAIL CREDIT'!CI38+'UNSECURED LOANS'!CJ38+'CAR FINANCE'!CG36</f>
        <v>16097014.510000002</v>
      </c>
      <c r="CJ40" s="14">
        <f aca="true" t="shared" si="44" ref="CJ40:CJ52">+CI40/$CI$54</f>
        <v>0.07201565146144363</v>
      </c>
      <c r="CK40" s="10">
        <f>+'SECURED LOANS'!BQ99+'RETAIL CREDIT'!CK38+'UNSECURED LOANS'!CL38+'CAR FINANCE'!CI36</f>
        <v>4811</v>
      </c>
      <c r="CL40" s="14">
        <f aca="true" t="shared" si="45" ref="CL40:CL52">+CK40/$CK$54</f>
        <v>0.10219644829637183</v>
      </c>
      <c r="CM40" s="56"/>
      <c r="CN40" s="55"/>
      <c r="CO40" s="9">
        <f>+'SECURED LOANS'!BT99+'RETAIL CREDIT'!CP38+'UNSECURED LOANS'!CQ38+'CAR FINANCE'!CN36</f>
        <v>14448898.339999996</v>
      </c>
      <c r="CP40" s="14">
        <f aca="true" t="shared" si="46" ref="CP40:CP52">+CO40/$CO$54</f>
        <v>0.06787621397036497</v>
      </c>
      <c r="CQ40" s="10">
        <f>+'SECURED LOANS'!BV99+'RETAIL CREDIT'!CR38+'UNSECURED LOANS'!CS38+'CAR FINANCE'!CP36</f>
        <v>3582</v>
      </c>
      <c r="CR40" s="14">
        <f aca="true" t="shared" si="47" ref="CR40:CR52">+CQ40/$CQ$54</f>
        <v>0.08897831433042701</v>
      </c>
      <c r="CS40" s="34"/>
      <c r="CT40" s="34"/>
      <c r="CU40" s="100">
        <f>+'SECURED LOANS'!BY99+'RETAIL CREDIT'!CW38+'UNSECURED LOANS'!CX38+'CAR FINANCE'!CU36</f>
        <v>15721673.700000001</v>
      </c>
      <c r="CV40" s="14">
        <f aca="true" t="shared" si="48" ref="CV40:CV52">+CU40/$CU$54</f>
        <v>0.06534038644731584</v>
      </c>
      <c r="CW40" s="10">
        <f>+'SECURED LOANS'!CA99+'RETAIL CREDIT'!CY38+'UNSECURED LOANS'!CZ38+'CAR FINANCE'!CW36</f>
        <v>4039</v>
      </c>
      <c r="CX40" s="14">
        <f aca="true" t="shared" si="49" ref="CX40:CX52">+CW40/$CW$54</f>
        <v>0.09241505548564237</v>
      </c>
      <c r="CY40" s="34"/>
      <c r="CZ40" s="34"/>
    </row>
    <row r="41" spans="1:104" ht="12.75">
      <c r="A41" s="8" t="s">
        <v>32</v>
      </c>
      <c r="B41" s="8"/>
      <c r="C41" s="8"/>
      <c r="D41" s="9">
        <f>+'SECURED LOANS'!D100+'RETAIL CREDIT'!D39+'UNSECURED LOANS'!D39+'CAR FINANCE'!D37</f>
        <v>21693570.050000004</v>
      </c>
      <c r="E41" s="14">
        <v>0.1064</v>
      </c>
      <c r="F41" s="10">
        <f>+'SECURED LOANS'!F100+'RETAIL CREDIT'!F39+'UNSECURED LOANS'!F39+'CAR FINANCE'!F37</f>
        <v>7933</v>
      </c>
      <c r="G41" s="14">
        <v>0.0786</v>
      </c>
      <c r="H41" s="14"/>
      <c r="I41" s="9">
        <v>19443978.03</v>
      </c>
      <c r="J41" s="14">
        <v>0.1113</v>
      </c>
      <c r="K41" s="10">
        <v>6661</v>
      </c>
      <c r="L41" s="14">
        <v>0.0818</v>
      </c>
      <c r="M41" s="56"/>
      <c r="N41" s="55"/>
      <c r="O41" s="56"/>
      <c r="P41" s="9">
        <f>+'SECURED LOANS'!Q100+'RETAIL CREDIT'!Q39+'UNSECURED LOANS'!R39+'CAR FINANCE'!P37</f>
        <v>23553985.22</v>
      </c>
      <c r="Q41" s="14">
        <f aca="true" t="shared" si="50" ref="Q41:Q52">+P41/$P$54</f>
        <v>0.10468773328087783</v>
      </c>
      <c r="R41" s="10">
        <f>+'SECURED LOANS'!S100+'RETAIL CREDIT'!S39+'UNSECURED LOANS'!T39+'CAR FINANCE'!R37</f>
        <v>7199</v>
      </c>
      <c r="S41" s="14">
        <f aca="true" t="shared" si="51" ref="S41:S52">+R41/$R$54</f>
        <v>0.08016435976526397</v>
      </c>
      <c r="T41" s="56"/>
      <c r="U41" s="55"/>
      <c r="V41" s="56"/>
      <c r="W41" s="9">
        <f>+'SECURED LOANS'!V100+'RETAIL CREDIT'!X39+'UNSECURED LOANS'!Y39+'CAR FINANCE'!W37</f>
        <v>25404765.45000002</v>
      </c>
      <c r="X41" s="14">
        <f aca="true" t="shared" si="52" ref="X41:X52">+W41/$P$54</f>
        <v>0.11291368677749652</v>
      </c>
      <c r="Y41" s="10">
        <f>+'SECURED LOANS'!X100+'RETAIL CREDIT'!Z39+'UNSECURED LOANS'!AA39+'CAR FINANCE'!Y37</f>
        <v>7089</v>
      </c>
      <c r="Z41" s="14">
        <f t="shared" si="28"/>
        <v>0.085028546754306</v>
      </c>
      <c r="AA41" s="56"/>
      <c r="AB41" s="55"/>
      <c r="AC41" s="56"/>
      <c r="AD41" s="34"/>
      <c r="AE41" s="9">
        <f>+'SECURED LOANS'!AA100+'RETAIL CREDIT'!AE39+'UNSECURED LOANS'!AF39+'CAR FINANCE'!AD37</f>
        <v>25407639.80999999</v>
      </c>
      <c r="AF41" s="14">
        <f t="shared" si="29"/>
        <v>0.10934065853924706</v>
      </c>
      <c r="AG41" s="10">
        <f>+'SECURED LOANS'!AC100+'RETAIL CREDIT'!AG39+'UNSECURED LOANS'!AH39+'CAR FINANCE'!AF37</f>
        <v>6780</v>
      </c>
      <c r="AH41" s="14">
        <f t="shared" si="30"/>
        <v>0.08868541530412034</v>
      </c>
      <c r="AI41" s="56"/>
      <c r="AJ41" s="55"/>
      <c r="AK41" s="56"/>
      <c r="AL41" s="9">
        <f>+'SECURED LOANS'!AF100+'RETAIL CREDIT'!AL39+'UNSECURED LOANS'!AM39+'CAR FINANCE'!AK37</f>
        <v>25436681.40000001</v>
      </c>
      <c r="AM41" s="14">
        <f t="shared" si="31"/>
        <v>0.11130670424073806</v>
      </c>
      <c r="AN41" s="10">
        <f>+'SECURED LOANS'!AH100+'RETAIL CREDIT'!AN39+'UNSECURED LOANS'!AO39+'CAR FINANCE'!AM37</f>
        <v>6662</v>
      </c>
      <c r="AO41" s="14">
        <f t="shared" si="32"/>
        <v>0.0897855766250219</v>
      </c>
      <c r="AP41" s="56"/>
      <c r="AQ41" s="55"/>
      <c r="AR41" s="56"/>
      <c r="AS41" s="9">
        <f>+'SECURED LOANS'!AK100+'RETAIL CREDIT'!AS39+'UNSECURED LOANS'!AT39+'CAR FINANCE'!AR37</f>
        <v>24672512.910000008</v>
      </c>
      <c r="AT41" s="14">
        <f t="shared" si="33"/>
        <v>0.10919380367542977</v>
      </c>
      <c r="AU41" s="10">
        <f>+'SECURED LOANS'!AM100+'RETAIL CREDIT'!AU39+'UNSECURED LOANS'!AV39+'CAR FINANCE'!AT37</f>
        <v>6334</v>
      </c>
      <c r="AV41" s="14">
        <f t="shared" si="34"/>
        <v>0.0899217762887037</v>
      </c>
      <c r="AW41" s="56"/>
      <c r="AX41" s="55"/>
      <c r="AY41" s="56"/>
      <c r="AZ41" s="9">
        <f>+'SECURED LOANS'!AP100+'RETAIL CREDIT'!AZ39+'UNSECURED LOANS'!BA39+'CAR FINANCE'!AY37</f>
        <v>28285014.580000002</v>
      </c>
      <c r="BA41" s="14">
        <f aca="true" t="shared" si="53" ref="BA41:BA52">+AZ41/$AZ$54</f>
        <v>0.10707023920847497</v>
      </c>
      <c r="BB41" s="10">
        <f>+'SECURED LOANS'!AR100+'RETAIL CREDIT'!BB39+'UNSECURED LOANS'!BC39+'CAR FINANCE'!BA37</f>
        <v>6499</v>
      </c>
      <c r="BC41" s="14">
        <f t="shared" si="35"/>
        <v>0.08826685137649568</v>
      </c>
      <c r="BD41" s="56"/>
      <c r="BE41" s="55"/>
      <c r="BF41" s="56"/>
      <c r="BG41" s="9">
        <f>+'SECURED LOANS'!AU100+'RETAIL CREDIT'!BG39+'UNSECURED LOANS'!BH39+'CAR FINANCE'!BE37</f>
        <v>25461441.369999994</v>
      </c>
      <c r="BH41" s="14">
        <f t="shared" si="36"/>
        <v>0.1076067500635217</v>
      </c>
      <c r="BI41" s="10">
        <f>+'SECURED LOANS'!AW100+'RETAIL CREDIT'!BI39+'UNSECURED LOANS'!BJ39+'CAR FINANCE'!BG37</f>
        <v>5824</v>
      </c>
      <c r="BJ41" s="14">
        <f t="shared" si="37"/>
        <v>0.09024280645211274</v>
      </c>
      <c r="BK41" s="56"/>
      <c r="BL41" s="55"/>
      <c r="BM41" s="56"/>
      <c r="BN41" s="9">
        <f>+'SECURED LOANS'!AZ100+'RETAIL CREDIT'!BN39+'UNSECURED LOANS'!BO39+'CAR FINANCE'!BL37</f>
        <v>23394521.04</v>
      </c>
      <c r="BO41" s="14">
        <f t="shared" si="38"/>
        <v>0.10775461256261043</v>
      </c>
      <c r="BP41" s="10">
        <f>+'SECURED LOANS'!BB100+'RETAIL CREDIT'!BP39+'UNSECURED LOANS'!BQ39+'CAR FINANCE'!BN37</f>
        <v>5272</v>
      </c>
      <c r="BQ41" s="14">
        <f t="shared" si="39"/>
        <v>0.09066052174511187</v>
      </c>
      <c r="BR41" s="56"/>
      <c r="BS41" s="55"/>
      <c r="BT41" s="56"/>
      <c r="BU41" s="9">
        <f>+'SECURED LOANS'!BE100+'RETAIL CREDIT'!BU39+'UNSECURED LOANS'!BV39+'CAR FINANCE'!BS37</f>
        <v>24722476.18</v>
      </c>
      <c r="BV41" s="14">
        <f t="shared" si="40"/>
        <v>0.10652324978993784</v>
      </c>
      <c r="BW41" s="10">
        <f>+'SECURED LOANS'!BG100+'RETAIL CREDIT'!BW39+'UNSECURED LOANS'!BX39+'CAR FINANCE'!BU37</f>
        <v>5021</v>
      </c>
      <c r="BX41" s="14">
        <f t="shared" si="41"/>
        <v>0.08992245285384244</v>
      </c>
      <c r="BY41" s="56"/>
      <c r="BZ41" s="55"/>
      <c r="CA41" s="56"/>
      <c r="CB41" s="9">
        <f>+'SECURED LOANS'!BJ100+'RETAIL CREDIT'!CB39+'UNSECURED LOANS'!CC39+'CAR FINANCE'!BZ37</f>
        <v>24480369.680000015</v>
      </c>
      <c r="CC41" s="14">
        <f t="shared" si="42"/>
        <v>0.10513971836932752</v>
      </c>
      <c r="CD41" s="10">
        <f>+'SECURED LOANS'!BL100+'RETAIL CREDIT'!CD39+'UNSECURED LOANS'!CE39+'CAR FINANCE'!CB37</f>
        <v>4780</v>
      </c>
      <c r="CE41" s="14">
        <f t="shared" si="43"/>
        <v>0.08713405519705421</v>
      </c>
      <c r="CF41" s="56"/>
      <c r="CG41" s="55"/>
      <c r="CH41" s="56"/>
      <c r="CI41" s="9">
        <f>+'SECURED LOANS'!BO100+'RETAIL CREDIT'!CI39+'UNSECURED LOANS'!CJ39+'CAR FINANCE'!CG37</f>
        <v>24097551.53000002</v>
      </c>
      <c r="CJ41" s="14">
        <f t="shared" si="44"/>
        <v>0.10780886548748345</v>
      </c>
      <c r="CK41" s="10">
        <f>+'SECURED LOANS'!BQ100+'RETAIL CREDIT'!CK39+'UNSECURED LOANS'!CL39+'CAR FINANCE'!CI37</f>
        <v>4298</v>
      </c>
      <c r="CL41" s="14">
        <f t="shared" si="45"/>
        <v>0.0912991758008327</v>
      </c>
      <c r="CM41" s="56"/>
      <c r="CN41" s="55"/>
      <c r="CO41" s="9">
        <f>+'SECURED LOANS'!BT100+'RETAIL CREDIT'!CP39+'UNSECURED LOANS'!CQ39+'CAR FINANCE'!CN37</f>
        <v>23668331.04</v>
      </c>
      <c r="CP41" s="14">
        <f t="shared" si="46"/>
        <v>0.11118610320241698</v>
      </c>
      <c r="CQ41" s="10">
        <f>+'SECURED LOANS'!BV100+'RETAIL CREDIT'!CR39+'UNSECURED LOANS'!CS39+'CAR FINANCE'!CP37</f>
        <v>3898</v>
      </c>
      <c r="CR41" s="14">
        <f t="shared" si="47"/>
        <v>0.09682788086543954</v>
      </c>
      <c r="CS41" s="34"/>
      <c r="CT41" s="34"/>
      <c r="CU41" s="100">
        <f>+'SECURED LOANS'!BY100+'RETAIL CREDIT'!CW39+'UNSECURED LOANS'!CX39+'CAR FINANCE'!CU37</f>
        <v>27366690.21</v>
      </c>
      <c r="CV41" s="14">
        <f t="shared" si="48"/>
        <v>0.1137378976454253</v>
      </c>
      <c r="CW41" s="10">
        <f>+'SECURED LOANS'!CA100+'RETAIL CREDIT'!CY39+'UNSECURED LOANS'!CZ39+'CAR FINANCE'!CW37</f>
        <v>4222</v>
      </c>
      <c r="CX41" s="14">
        <f t="shared" si="49"/>
        <v>0.096602219425695</v>
      </c>
      <c r="CY41" s="34"/>
      <c r="CZ41" s="34"/>
    </row>
    <row r="42" spans="1:104" ht="12.75">
      <c r="A42" s="8" t="s">
        <v>33</v>
      </c>
      <c r="B42" s="8"/>
      <c r="C42" s="8"/>
      <c r="D42" s="9">
        <f>+'SECURED LOANS'!D101+'RETAIL CREDIT'!D40+'UNSECURED LOANS'!D40+'CAR FINANCE'!D38</f>
        <v>19875049.419999998</v>
      </c>
      <c r="E42" s="14">
        <v>0.0975</v>
      </c>
      <c r="F42" s="10">
        <f>+'SECURED LOANS'!F101+'RETAIL CREDIT'!F40+'UNSECURED LOANS'!F40+'CAR FINANCE'!F38</f>
        <v>6757</v>
      </c>
      <c r="G42" s="14">
        <v>0.0669</v>
      </c>
      <c r="H42" s="14"/>
      <c r="I42" s="9">
        <v>17729147.84</v>
      </c>
      <c r="J42" s="14">
        <v>0.1015</v>
      </c>
      <c r="K42" s="10">
        <v>5524</v>
      </c>
      <c r="L42" s="14">
        <v>0.0678</v>
      </c>
      <c r="M42" s="56"/>
      <c r="N42" s="55"/>
      <c r="O42" s="56"/>
      <c r="P42" s="9">
        <f>+'SECURED LOANS'!Q101+'RETAIL CREDIT'!Q40+'UNSECURED LOANS'!R40+'CAR FINANCE'!P38</f>
        <v>22312282.57000003</v>
      </c>
      <c r="Q42" s="14">
        <f t="shared" si="50"/>
        <v>0.09916887799489511</v>
      </c>
      <c r="R42" s="10">
        <f>+'SECURED LOANS'!S101+'RETAIL CREDIT'!S40+'UNSECURED LOANS'!T40+'CAR FINANCE'!R38</f>
        <v>6435</v>
      </c>
      <c r="S42" s="14">
        <f t="shared" si="51"/>
        <v>0.07165684888032693</v>
      </c>
      <c r="T42" s="56"/>
      <c r="U42" s="55"/>
      <c r="V42" s="56"/>
      <c r="W42" s="9">
        <f>+'SECURED LOANS'!V101+'RETAIL CREDIT'!X40+'UNSECURED LOANS'!Y40+'CAR FINANCE'!W38</f>
        <v>23289458.38999998</v>
      </c>
      <c r="X42" s="14">
        <f t="shared" si="52"/>
        <v>0.10351202080734007</v>
      </c>
      <c r="Y42" s="10">
        <f>+'SECURED LOANS'!X101+'RETAIL CREDIT'!Z40+'UNSECURED LOANS'!AA40+'CAR FINANCE'!Y38</f>
        <v>6454</v>
      </c>
      <c r="Z42" s="14">
        <f t="shared" si="28"/>
        <v>0.07741208079451134</v>
      </c>
      <c r="AA42" s="56"/>
      <c r="AB42" s="55"/>
      <c r="AC42" s="56"/>
      <c r="AD42" s="34"/>
      <c r="AE42" s="9">
        <f>+'SECURED LOANS'!AA101+'RETAIL CREDIT'!AE40+'UNSECURED LOANS'!AF40+'CAR FINANCE'!AD38</f>
        <v>23324341.759999998</v>
      </c>
      <c r="AF42" s="14">
        <f t="shared" si="29"/>
        <v>0.10037527716482775</v>
      </c>
      <c r="AG42" s="10">
        <f>+'SECURED LOANS'!AC101+'RETAIL CREDIT'!AG40+'UNSECURED LOANS'!AH40+'CAR FINANCE'!AF38</f>
        <v>6255</v>
      </c>
      <c r="AH42" s="14">
        <f t="shared" si="30"/>
        <v>0.08181818181818182</v>
      </c>
      <c r="AI42" s="56"/>
      <c r="AJ42" s="55"/>
      <c r="AK42" s="56"/>
      <c r="AL42" s="9">
        <f>+'SECURED LOANS'!AF101+'RETAIL CREDIT'!AL40+'UNSECURED LOANS'!AM40+'CAR FINANCE'!AK38</f>
        <v>23488619.159999993</v>
      </c>
      <c r="AM42" s="14">
        <f t="shared" si="31"/>
        <v>0.10278230657342949</v>
      </c>
      <c r="AN42" s="10">
        <f>+'SECURED LOANS'!AH101+'RETAIL CREDIT'!AN40+'UNSECURED LOANS'!AO40+'CAR FINANCE'!AM38</f>
        <v>6131</v>
      </c>
      <c r="AO42" s="14">
        <f t="shared" si="32"/>
        <v>0.08262914594536315</v>
      </c>
      <c r="AP42" s="56"/>
      <c r="AQ42" s="55"/>
      <c r="AR42" s="56"/>
      <c r="AS42" s="9">
        <f>+'SECURED LOANS'!AK101+'RETAIL CREDIT'!AS40+'UNSECURED LOANS'!AT40+'CAR FINANCE'!AR38</f>
        <v>23174140.759999976</v>
      </c>
      <c r="AT42" s="14">
        <f t="shared" si="33"/>
        <v>0.10256241776931393</v>
      </c>
      <c r="AU42" s="10">
        <f>+'SECURED LOANS'!AM101+'RETAIL CREDIT'!AU40+'UNSECURED LOANS'!AV40+'CAR FINANCE'!AT38</f>
        <v>5952</v>
      </c>
      <c r="AV42" s="14">
        <f t="shared" si="34"/>
        <v>0.08449864421698207</v>
      </c>
      <c r="AW42" s="56"/>
      <c r="AX42" s="55"/>
      <c r="AY42" s="56"/>
      <c r="AZ42" s="9">
        <f>+'SECURED LOANS'!AP101+'RETAIL CREDIT'!AZ40+'UNSECURED LOANS'!BA40+'CAR FINANCE'!AY38</f>
        <v>25898688.400000025</v>
      </c>
      <c r="BA42" s="14">
        <f t="shared" si="53"/>
        <v>0.09803702785200255</v>
      </c>
      <c r="BB42" s="10">
        <f>+'SECURED LOANS'!AR101+'RETAIL CREDIT'!BB40+'UNSECURED LOANS'!BC40+'CAR FINANCE'!BA38</f>
        <v>6219</v>
      </c>
      <c r="BC42" s="14">
        <f t="shared" si="35"/>
        <v>0.08446400195575113</v>
      </c>
      <c r="BD42" s="56"/>
      <c r="BE42" s="55"/>
      <c r="BF42" s="56"/>
      <c r="BG42" s="9">
        <f>+'SECURED LOANS'!AU101+'RETAIL CREDIT'!BG40+'UNSECURED LOANS'!BH40+'CAR FINANCE'!BE38</f>
        <v>23120019.789999984</v>
      </c>
      <c r="BH42" s="14">
        <f t="shared" si="36"/>
        <v>0.09771128644498277</v>
      </c>
      <c r="BI42" s="10">
        <f>+'SECURED LOANS'!AW101+'RETAIL CREDIT'!BI40+'UNSECURED LOANS'!BJ40+'CAR FINANCE'!BG38</f>
        <v>5713</v>
      </c>
      <c r="BJ42" s="14">
        <f t="shared" si="37"/>
        <v>0.08852286285386678</v>
      </c>
      <c r="BK42" s="56"/>
      <c r="BL42" s="55"/>
      <c r="BM42" s="56"/>
      <c r="BN42" s="9">
        <f>+'SECURED LOANS'!AZ101+'RETAIL CREDIT'!BN40+'UNSECURED LOANS'!BO40+'CAR FINANCE'!BL38</f>
        <v>20985986.430000007</v>
      </c>
      <c r="BO42" s="14">
        <f t="shared" si="38"/>
        <v>0.09666095891180729</v>
      </c>
      <c r="BP42" s="10">
        <f>+'SECURED LOANS'!BB101+'RETAIL CREDIT'!BP40+'UNSECURED LOANS'!BQ40+'CAR FINANCE'!BN38</f>
        <v>5064</v>
      </c>
      <c r="BQ42" s="14">
        <f t="shared" si="39"/>
        <v>0.08708362710873416</v>
      </c>
      <c r="BR42" s="56"/>
      <c r="BS42" s="55"/>
      <c r="BT42" s="56"/>
      <c r="BU42" s="9">
        <f>+'SECURED LOANS'!BE101+'RETAIL CREDIT'!BU40+'UNSECURED LOANS'!BV40+'CAR FINANCE'!BS38</f>
        <v>22613578.790000007</v>
      </c>
      <c r="BV42" s="14">
        <f t="shared" si="40"/>
        <v>0.0974365142291184</v>
      </c>
      <c r="BW42" s="10">
        <f>+'SECURED LOANS'!BG101+'RETAIL CREDIT'!BW40+'UNSECURED LOANS'!BX40+'CAR FINANCE'!BU38</f>
        <v>4980</v>
      </c>
      <c r="BX42" s="14">
        <f t="shared" si="41"/>
        <v>0.0891881727170156</v>
      </c>
      <c r="BY42" s="56"/>
      <c r="BZ42" s="55"/>
      <c r="CA42" s="56"/>
      <c r="CB42" s="9">
        <f>+'SECURED LOANS'!BJ101+'RETAIL CREDIT'!CB40+'UNSECURED LOANS'!CC40+'CAR FINANCE'!BZ38</f>
        <v>22440149.58999998</v>
      </c>
      <c r="CC42" s="14">
        <f t="shared" si="42"/>
        <v>0.09637726222679235</v>
      </c>
      <c r="CD42" s="10">
        <f>+'SECURED LOANS'!BL101+'RETAIL CREDIT'!CD40+'UNSECURED LOANS'!CE40+'CAR FINANCE'!CB38</f>
        <v>4985</v>
      </c>
      <c r="CE42" s="14">
        <f t="shared" si="43"/>
        <v>0.09087097597433373</v>
      </c>
      <c r="CF42" s="56"/>
      <c r="CG42" s="55"/>
      <c r="CH42" s="56"/>
      <c r="CI42" s="9">
        <f>+'SECURED LOANS'!BO101+'RETAIL CREDIT'!CI40+'UNSECURED LOANS'!CJ40+'CAR FINANCE'!CG38</f>
        <v>22238592.21000002</v>
      </c>
      <c r="CJ42" s="14">
        <f t="shared" si="44"/>
        <v>0.09949215766648004</v>
      </c>
      <c r="CK42" s="10">
        <f>+'SECURED LOANS'!BQ101+'RETAIL CREDIT'!CK40+'UNSECURED LOANS'!CL40+'CAR FINANCE'!CI38</f>
        <v>4203</v>
      </c>
      <c r="CL42" s="14">
        <f t="shared" si="45"/>
        <v>0.08928116237573286</v>
      </c>
      <c r="CM42" s="56"/>
      <c r="CN42" s="55"/>
      <c r="CO42" s="9">
        <f>+'SECURED LOANS'!BT101+'RETAIL CREDIT'!CP40+'UNSECURED LOANS'!CQ40+'CAR FINANCE'!CN38</f>
        <v>21002619.000000007</v>
      </c>
      <c r="CP42" s="14">
        <f t="shared" si="46"/>
        <v>0.09866345707724411</v>
      </c>
      <c r="CQ42" s="10">
        <f>+'SECURED LOANS'!BV101+'RETAIL CREDIT'!CR40+'UNSECURED LOANS'!CS40+'CAR FINANCE'!CP38</f>
        <v>3709</v>
      </c>
      <c r="CR42" s="14">
        <f t="shared" si="47"/>
        <v>0.09213304518468837</v>
      </c>
      <c r="CS42" s="34"/>
      <c r="CT42" s="34"/>
      <c r="CU42" s="100">
        <f>+'SECURED LOANS'!BY101+'RETAIL CREDIT'!CW40+'UNSECURED LOANS'!CX40+'CAR FINANCE'!CU38</f>
        <v>23641294.45999998</v>
      </c>
      <c r="CV42" s="14">
        <f t="shared" si="48"/>
        <v>0.09825488975332095</v>
      </c>
      <c r="CW42" s="10">
        <f>+'SECURED LOANS'!CA101+'RETAIL CREDIT'!CY40+'UNSECURED LOANS'!CZ40+'CAR FINANCE'!CW38</f>
        <v>4237</v>
      </c>
      <c r="CX42" s="14">
        <f t="shared" si="49"/>
        <v>0.0969454295847157</v>
      </c>
      <c r="CY42" s="34"/>
      <c r="CZ42" s="34"/>
    </row>
    <row r="43" spans="1:104" ht="12.75">
      <c r="A43" s="8" t="s">
        <v>34</v>
      </c>
      <c r="B43" s="8"/>
      <c r="C43" s="8"/>
      <c r="D43" s="9">
        <f>+'SECURED LOANS'!D102+'RETAIL CREDIT'!D41+'UNSECURED LOANS'!D41+'CAR FINANCE'!D39</f>
        <v>12402970.289999997</v>
      </c>
      <c r="E43" s="14">
        <v>0.0609</v>
      </c>
      <c r="F43" s="10">
        <f>+'SECURED LOANS'!F102+'RETAIL CREDIT'!F41+'UNSECURED LOANS'!F41+'CAR FINANCE'!F39</f>
        <v>4314</v>
      </c>
      <c r="G43" s="14">
        <v>0.0427</v>
      </c>
      <c r="H43" s="14"/>
      <c r="I43" s="9">
        <v>10927948.05</v>
      </c>
      <c r="J43" s="14">
        <v>0.0625</v>
      </c>
      <c r="K43" s="10">
        <v>3459</v>
      </c>
      <c r="L43" s="14">
        <v>0.0425</v>
      </c>
      <c r="M43" s="56"/>
      <c r="N43" s="55"/>
      <c r="O43" s="56"/>
      <c r="P43" s="9">
        <f>+'SECURED LOANS'!Q102+'RETAIL CREDIT'!Q41+'UNSECURED LOANS'!R41+'CAR FINANCE'!P39</f>
        <v>14387996.750000007</v>
      </c>
      <c r="Q43" s="14">
        <f t="shared" si="50"/>
        <v>0.06394870134040688</v>
      </c>
      <c r="R43" s="10">
        <f>+'SECURED LOANS'!S102+'RETAIL CREDIT'!S41+'UNSECURED LOANS'!T41+'CAR FINANCE'!R39</f>
        <v>3863</v>
      </c>
      <c r="S43" s="14">
        <f t="shared" si="51"/>
        <v>0.04301638029909914</v>
      </c>
      <c r="T43" s="56"/>
      <c r="U43" s="55"/>
      <c r="V43" s="56"/>
      <c r="W43" s="9">
        <f>+'SECURED LOANS'!V102+'RETAIL CREDIT'!X41+'UNSECURED LOANS'!Y41+'CAR FINANCE'!W39</f>
        <v>15043043.850000001</v>
      </c>
      <c r="X43" s="14">
        <f t="shared" si="52"/>
        <v>0.06686011507573451</v>
      </c>
      <c r="Y43" s="10">
        <f>+'SECURED LOANS'!X102+'RETAIL CREDIT'!Z41+'UNSECURED LOANS'!AA41+'CAR FINANCE'!Y39</f>
        <v>3801</v>
      </c>
      <c r="Z43" s="14">
        <f t="shared" si="28"/>
        <v>0.04559084584752675</v>
      </c>
      <c r="AA43" s="56"/>
      <c r="AB43" s="55"/>
      <c r="AC43" s="56"/>
      <c r="AD43" s="34"/>
      <c r="AE43" s="9">
        <f>+'SECURED LOANS'!AA102+'RETAIL CREDIT'!AE41+'UNSECURED LOANS'!AF41+'CAR FINANCE'!AD39</f>
        <v>15241724.319999998</v>
      </c>
      <c r="AF43" s="14">
        <f t="shared" si="29"/>
        <v>0.065592089107251</v>
      </c>
      <c r="AG43" s="10">
        <f>+'SECURED LOANS'!AC102+'RETAIL CREDIT'!AG41+'UNSECURED LOANS'!AH41+'CAR FINANCE'!AF39</f>
        <v>3639</v>
      </c>
      <c r="AH43" s="14">
        <f t="shared" si="30"/>
        <v>0.0475997383911053</v>
      </c>
      <c r="AI43" s="56"/>
      <c r="AJ43" s="55"/>
      <c r="AK43" s="56"/>
      <c r="AL43" s="9">
        <f>+'SECURED LOANS'!AF102+'RETAIL CREDIT'!AL41+'UNSECURED LOANS'!AM41+'CAR FINANCE'!AK39</f>
        <v>14517688.1</v>
      </c>
      <c r="AM43" s="14">
        <f t="shared" si="31"/>
        <v>0.06352699828233024</v>
      </c>
      <c r="AN43" s="10">
        <f>+'SECURED LOANS'!AH102+'RETAIL CREDIT'!AN41+'UNSECURED LOANS'!AO41+'CAR FINANCE'!AM39</f>
        <v>3486</v>
      </c>
      <c r="AO43" s="14">
        <f t="shared" si="32"/>
        <v>0.04698176525290098</v>
      </c>
      <c r="AP43" s="56"/>
      <c r="AQ43" s="55"/>
      <c r="AR43" s="56"/>
      <c r="AS43" s="9">
        <f>+'SECURED LOANS'!AK102+'RETAIL CREDIT'!AS41+'UNSECURED LOANS'!AT41+'CAR FINANCE'!AR39</f>
        <v>13736831.170000004</v>
      </c>
      <c r="AT43" s="14">
        <f t="shared" si="33"/>
        <v>0.06079546300658939</v>
      </c>
      <c r="AU43" s="10">
        <f>+'SECURED LOANS'!AM102+'RETAIL CREDIT'!AU41+'UNSECURED LOANS'!AV41+'CAR FINANCE'!AT39</f>
        <v>3353</v>
      </c>
      <c r="AV43" s="14">
        <f t="shared" si="34"/>
        <v>0.04760147077613254</v>
      </c>
      <c r="AW43" s="56"/>
      <c r="AX43" s="55"/>
      <c r="AY43" s="56"/>
      <c r="AZ43" s="9">
        <f>+'SECURED LOANS'!AP102+'RETAIL CREDIT'!AZ41+'UNSECURED LOANS'!BA41+'CAR FINANCE'!AY39</f>
        <v>16151857.520000001</v>
      </c>
      <c r="BA43" s="14">
        <f t="shared" si="53"/>
        <v>0.06114132426682332</v>
      </c>
      <c r="BB43" s="10">
        <f>+'SECURED LOANS'!AR102+'RETAIL CREDIT'!BB41+'UNSECURED LOANS'!BC41+'CAR FINANCE'!BA39</f>
        <v>3485</v>
      </c>
      <c r="BC43" s="14">
        <f t="shared" si="35"/>
        <v>0.04733189368319548</v>
      </c>
      <c r="BD43" s="56"/>
      <c r="BE43" s="55"/>
      <c r="BF43" s="56"/>
      <c r="BG43" s="9">
        <f>+'SECURED LOANS'!AU102+'RETAIL CREDIT'!BG41+'UNSECURED LOANS'!BH41+'CAR FINANCE'!BE39</f>
        <v>14503788.630000006</v>
      </c>
      <c r="BH43" s="14">
        <f t="shared" si="36"/>
        <v>0.061296826656540494</v>
      </c>
      <c r="BI43" s="10">
        <f>+'SECURED LOANS'!AW102+'RETAIL CREDIT'!BI41+'UNSECURED LOANS'!BJ41+'CAR FINANCE'!BG39</f>
        <v>3174</v>
      </c>
      <c r="BJ43" s="14">
        <f t="shared" si="37"/>
        <v>0.04918108991741172</v>
      </c>
      <c r="BK43" s="56"/>
      <c r="BL43" s="55"/>
      <c r="BM43" s="56"/>
      <c r="BN43" s="9">
        <f>+'SECURED LOANS'!AZ102+'RETAIL CREDIT'!BN41+'UNSECURED LOANS'!BO41+'CAR FINANCE'!BL39</f>
        <v>13039873.67</v>
      </c>
      <c r="BO43" s="14">
        <f t="shared" si="38"/>
        <v>0.06006135080832734</v>
      </c>
      <c r="BP43" s="10">
        <f>+'SECURED LOANS'!BB102+'RETAIL CREDIT'!BP41+'UNSECURED LOANS'!BQ41+'CAR FINANCE'!BN39</f>
        <v>2911</v>
      </c>
      <c r="BQ43" s="14">
        <f t="shared" si="39"/>
        <v>0.05005932830045915</v>
      </c>
      <c r="BR43" s="56"/>
      <c r="BS43" s="55"/>
      <c r="BT43" s="56"/>
      <c r="BU43" s="9">
        <f>+'SECURED LOANS'!BE102+'RETAIL CREDIT'!BU41+'UNSECURED LOANS'!BV41+'CAR FINANCE'!BS39</f>
        <v>15113758.380000006</v>
      </c>
      <c r="BV43" s="14">
        <f t="shared" si="40"/>
        <v>0.06512157792996232</v>
      </c>
      <c r="BW43" s="10">
        <f>+'SECURED LOANS'!BG102+'RETAIL CREDIT'!BW41+'UNSECURED LOANS'!BX41+'CAR FINANCE'!BU39</f>
        <v>2868</v>
      </c>
      <c r="BX43" s="14">
        <f t="shared" si="41"/>
        <v>0.05136379103461862</v>
      </c>
      <c r="BY43" s="56"/>
      <c r="BZ43" s="55"/>
      <c r="CA43" s="56"/>
      <c r="CB43" s="9">
        <f>+'SECURED LOANS'!BJ102+'RETAIL CREDIT'!CB41+'UNSECURED LOANS'!CC41+'CAR FINANCE'!BZ39</f>
        <v>15040081.569999997</v>
      </c>
      <c r="CC43" s="14">
        <f t="shared" si="42"/>
        <v>0.06459501883312703</v>
      </c>
      <c r="CD43" s="10">
        <f>+'SECURED LOANS'!BL102+'RETAIL CREDIT'!CD41+'UNSECURED LOANS'!CE41+'CAR FINANCE'!CB39</f>
        <v>2818</v>
      </c>
      <c r="CE43" s="14">
        <f t="shared" si="43"/>
        <v>0.05136898902621313</v>
      </c>
      <c r="CF43" s="56"/>
      <c r="CG43" s="55"/>
      <c r="CH43" s="56"/>
      <c r="CI43" s="9">
        <f>+'SECURED LOANS'!BO102+'RETAIL CREDIT'!CI41+'UNSECURED LOANS'!CJ41+'CAR FINANCE'!CG39</f>
        <v>14451944.910000004</v>
      </c>
      <c r="CJ43" s="14">
        <f t="shared" si="44"/>
        <v>0.06465585447114967</v>
      </c>
      <c r="CK43" s="10">
        <f>+'SECURED LOANS'!BQ102+'RETAIL CREDIT'!CK41+'UNSECURED LOANS'!CL41+'CAR FINANCE'!CI39</f>
        <v>2501</v>
      </c>
      <c r="CL43" s="14">
        <f t="shared" si="45"/>
        <v>0.05312685869657575</v>
      </c>
      <c r="CM43" s="56"/>
      <c r="CN43" s="55"/>
      <c r="CO43" s="9">
        <f>+'SECURED LOANS'!BT102+'RETAIL CREDIT'!CP41+'UNSECURED LOANS'!CQ41+'CAR FINANCE'!CN39</f>
        <v>14178058.18</v>
      </c>
      <c r="CP43" s="14">
        <f t="shared" si="46"/>
        <v>0.06660389519426597</v>
      </c>
      <c r="CQ43" s="10">
        <f>+'SECURED LOANS'!BV102+'RETAIL CREDIT'!CR41+'UNSECURED LOANS'!CS41+'CAR FINANCE'!CP39</f>
        <v>2229</v>
      </c>
      <c r="CR43" s="14">
        <f t="shared" si="47"/>
        <v>0.055369252552351145</v>
      </c>
      <c r="CS43" s="34"/>
      <c r="CT43" s="34"/>
      <c r="CU43" s="100">
        <f>+'SECURED LOANS'!BY102+'RETAIL CREDIT'!CW41+'UNSECURED LOANS'!CX41+'CAR FINANCE'!CU39</f>
        <v>15513109.559999995</v>
      </c>
      <c r="CV43" s="14">
        <f t="shared" si="48"/>
        <v>0.06447357914888853</v>
      </c>
      <c r="CW43" s="10">
        <f>+'SECURED LOANS'!CA102+'RETAIL CREDIT'!CY41+'UNSECURED LOANS'!CZ41+'CAR FINANCE'!CW39</f>
        <v>2431</v>
      </c>
      <c r="CX43" s="14">
        <f t="shared" si="49"/>
        <v>0.055622926438622586</v>
      </c>
      <c r="CY43" s="34"/>
      <c r="CZ43" s="34"/>
    </row>
    <row r="44" spans="1:104" ht="12.75">
      <c r="A44" s="8" t="s">
        <v>35</v>
      </c>
      <c r="B44" s="8"/>
      <c r="C44" s="8"/>
      <c r="D44" s="9">
        <f>+'SECURED LOANS'!D103+'RETAIL CREDIT'!D42+'UNSECURED LOANS'!D42+'CAR FINANCE'!D40</f>
        <v>17822605.830000002</v>
      </c>
      <c r="E44" s="14">
        <v>0.0875</v>
      </c>
      <c r="F44" s="10">
        <f>+'SECURED LOANS'!F103+'RETAIL CREDIT'!F42+'UNSECURED LOANS'!F42+'CAR FINANCE'!F40</f>
        <v>8861</v>
      </c>
      <c r="G44" s="14">
        <v>0.0878</v>
      </c>
      <c r="H44" s="14"/>
      <c r="I44" s="9">
        <v>15196171.66</v>
      </c>
      <c r="J44" s="14">
        <v>0.087</v>
      </c>
      <c r="K44" s="10">
        <v>7202</v>
      </c>
      <c r="L44" s="14">
        <v>0.0884</v>
      </c>
      <c r="M44" s="56"/>
      <c r="N44" s="55"/>
      <c r="O44" s="56"/>
      <c r="P44" s="9">
        <f>+'SECURED LOANS'!Q103+'RETAIL CREDIT'!Q42+'UNSECURED LOANS'!R42+'CAR FINANCE'!P40</f>
        <v>19462872.379999977</v>
      </c>
      <c r="Q44" s="14">
        <f t="shared" si="50"/>
        <v>0.08650442689702943</v>
      </c>
      <c r="R44" s="10">
        <f>+'SECURED LOANS'!S103+'RETAIL CREDIT'!S42+'UNSECURED LOANS'!T42+'CAR FINANCE'!R40</f>
        <v>7926</v>
      </c>
      <c r="S44" s="14">
        <f t="shared" si="51"/>
        <v>0.08825985768849592</v>
      </c>
      <c r="T44" s="56"/>
      <c r="U44" s="55"/>
      <c r="V44" s="56"/>
      <c r="W44" s="9">
        <f>+'SECURED LOANS'!V103+'RETAIL CREDIT'!X42+'UNSECURED LOANS'!Y42+'CAR FINANCE'!W40</f>
        <v>20042173.199999977</v>
      </c>
      <c r="X44" s="14">
        <f t="shared" si="52"/>
        <v>0.08907917971134549</v>
      </c>
      <c r="Y44" s="10">
        <f>+'SECURED LOANS'!X103+'RETAIL CREDIT'!Z42+'UNSECURED LOANS'!AA42+'CAR FINANCE'!Y40</f>
        <v>7273</v>
      </c>
      <c r="Z44" s="14">
        <f t="shared" si="28"/>
        <v>0.0872355227174591</v>
      </c>
      <c r="AA44" s="56"/>
      <c r="AB44" s="55"/>
      <c r="AC44" s="56"/>
      <c r="AD44" s="34"/>
      <c r="AE44" s="9">
        <f>+'SECURED LOANS'!AA103+'RETAIL CREDIT'!AE42+'UNSECURED LOANS'!AF42+'CAR FINANCE'!AD40</f>
        <v>19176307.500000015</v>
      </c>
      <c r="AF44" s="14">
        <f t="shared" si="29"/>
        <v>0.08252439447665111</v>
      </c>
      <c r="AG44" s="10">
        <f>+'SECURED LOANS'!AC103+'RETAIL CREDIT'!AG42+'UNSECURED LOANS'!AH42+'CAR FINANCE'!AF40</f>
        <v>6615</v>
      </c>
      <c r="AH44" s="14">
        <f t="shared" si="30"/>
        <v>0.08652714192282537</v>
      </c>
      <c r="AI44" s="56"/>
      <c r="AJ44" s="55"/>
      <c r="AK44" s="56"/>
      <c r="AL44" s="9">
        <f>+'SECURED LOANS'!AF103+'RETAIL CREDIT'!AL42+'UNSECURED LOANS'!AM42+'CAR FINANCE'!AK40</f>
        <v>18734479.589999996</v>
      </c>
      <c r="AM44" s="14">
        <f t="shared" si="31"/>
        <v>0.08197897933447688</v>
      </c>
      <c r="AN44" s="10">
        <f>+'SECURED LOANS'!AH103+'RETAIL CREDIT'!AN42+'UNSECURED LOANS'!AO42+'CAR FINANCE'!AM40</f>
        <v>6422</v>
      </c>
      <c r="AO44" s="14">
        <f t="shared" si="32"/>
        <v>0.08655103168506315</v>
      </c>
      <c r="AP44" s="56"/>
      <c r="AQ44" s="55"/>
      <c r="AR44" s="56"/>
      <c r="AS44" s="9">
        <f>+'SECURED LOANS'!AK103+'RETAIL CREDIT'!AS42+'UNSECURED LOANS'!AT42+'CAR FINANCE'!AR40</f>
        <v>18821273.669999987</v>
      </c>
      <c r="AT44" s="14">
        <f t="shared" si="33"/>
        <v>0.08329781686771498</v>
      </c>
      <c r="AU44" s="10">
        <f>+'SECURED LOANS'!AM103+'RETAIL CREDIT'!AU42+'UNSECURED LOANS'!AV42+'CAR FINANCE'!AT40</f>
        <v>6066</v>
      </c>
      <c r="AV44" s="14">
        <f t="shared" si="34"/>
        <v>0.08611706583000894</v>
      </c>
      <c r="AW44" s="56"/>
      <c r="AX44" s="55"/>
      <c r="AY44" s="56"/>
      <c r="AZ44" s="9">
        <f>+'SECURED LOANS'!AP103+'RETAIL CREDIT'!AZ42+'UNSECURED LOANS'!BA42+'CAR FINANCE'!AY40</f>
        <v>22236744.080000006</v>
      </c>
      <c r="BA44" s="14">
        <f t="shared" si="53"/>
        <v>0.08417508504827648</v>
      </c>
      <c r="BB44" s="10">
        <f>+'SECURED LOANS'!AR103+'RETAIL CREDIT'!BB42+'UNSECURED LOANS'!BC42+'CAR FINANCE'!BA40</f>
        <v>6173</v>
      </c>
      <c r="BC44" s="14">
        <f t="shared" si="35"/>
        <v>0.0838392481223431</v>
      </c>
      <c r="BD44" s="56"/>
      <c r="BE44" s="55"/>
      <c r="BF44" s="56"/>
      <c r="BG44" s="9">
        <f>+'SECURED LOANS'!AU103+'RETAIL CREDIT'!BG42+'UNSECURED LOANS'!BH42+'CAR FINANCE'!BE40</f>
        <v>20147688.53999999</v>
      </c>
      <c r="BH44" s="14">
        <f t="shared" si="36"/>
        <v>0.08514943257045704</v>
      </c>
      <c r="BI44" s="10">
        <f>+'SECURED LOANS'!AW103+'RETAIL CREDIT'!BI42+'UNSECURED LOANS'!BJ42+'CAR FINANCE'!BG40</f>
        <v>5557</v>
      </c>
      <c r="BJ44" s="14">
        <f t="shared" si="37"/>
        <v>0.08610564482389947</v>
      </c>
      <c r="BK44" s="56"/>
      <c r="BL44" s="55"/>
      <c r="BM44" s="56"/>
      <c r="BN44" s="9">
        <f>+'SECURED LOANS'!AZ103+'RETAIL CREDIT'!BN42+'UNSECURED LOANS'!BO42+'CAR FINANCE'!BL40</f>
        <v>18736767.47</v>
      </c>
      <c r="BO44" s="14">
        <f t="shared" si="38"/>
        <v>0.08630110939025117</v>
      </c>
      <c r="BP44" s="10">
        <f>+'SECURED LOANS'!BB103+'RETAIL CREDIT'!BP42+'UNSECURED LOANS'!BQ42+'CAR FINANCE'!BN40</f>
        <v>4970</v>
      </c>
      <c r="BQ44" s="14">
        <f t="shared" si="39"/>
        <v>0.0854671458788327</v>
      </c>
      <c r="BR44" s="56"/>
      <c r="BS44" s="55"/>
      <c r="BT44" s="56"/>
      <c r="BU44" s="9">
        <f>+'SECURED LOANS'!BE103+'RETAIL CREDIT'!BU42+'UNSECURED LOANS'!BV42+'CAR FINANCE'!BS40</f>
        <v>20216300.220000014</v>
      </c>
      <c r="BV44" s="14">
        <f t="shared" si="40"/>
        <v>0.08710721298643948</v>
      </c>
      <c r="BW44" s="10">
        <f>+'SECURED LOANS'!BG103+'RETAIL CREDIT'!BW42+'UNSECURED LOANS'!BX42+'CAR FINANCE'!BU40</f>
        <v>4600</v>
      </c>
      <c r="BX44" s="14">
        <f t="shared" si="41"/>
        <v>0.08238264949764493</v>
      </c>
      <c r="BY44" s="56"/>
      <c r="BZ44" s="55"/>
      <c r="CA44" s="56"/>
      <c r="CB44" s="9">
        <f>+'SECURED LOANS'!BJ103+'RETAIL CREDIT'!CB42+'UNSECURED LOANS'!CC42+'CAR FINANCE'!BZ40</f>
        <v>20382571.230000004</v>
      </c>
      <c r="CC44" s="14">
        <f t="shared" si="42"/>
        <v>0.0875402547746557</v>
      </c>
      <c r="CD44" s="10">
        <f>+'SECURED LOANS'!BL103+'RETAIL CREDIT'!CD42+'UNSECURED LOANS'!CE42+'CAR FINANCE'!CB40</f>
        <v>4452</v>
      </c>
      <c r="CE44" s="14">
        <f t="shared" si="43"/>
        <v>0.08115498195340698</v>
      </c>
      <c r="CF44" s="56"/>
      <c r="CG44" s="55"/>
      <c r="CH44" s="56"/>
      <c r="CI44" s="9">
        <f>+'SECURED LOANS'!BO103+'RETAIL CREDIT'!CI42+'UNSECURED LOANS'!CJ42+'CAR FINANCE'!CG40</f>
        <v>19706912.92999999</v>
      </c>
      <c r="CJ44" s="14">
        <f t="shared" si="44"/>
        <v>0.08816580068721676</v>
      </c>
      <c r="CK44" s="10">
        <f>+'SECURED LOANS'!BQ103+'RETAIL CREDIT'!CK42+'UNSECURED LOANS'!CL42+'CAR FINANCE'!CI40</f>
        <v>3870</v>
      </c>
      <c r="CL44" s="14">
        <f t="shared" si="45"/>
        <v>0.08220749426459342</v>
      </c>
      <c r="CM44" s="56"/>
      <c r="CN44" s="55"/>
      <c r="CO44" s="9">
        <f>+'SECURED LOANS'!BT103+'RETAIL CREDIT'!CP42+'UNSECURED LOANS'!CQ42+'CAR FINANCE'!CN40</f>
        <v>18404540.540000007</v>
      </c>
      <c r="CP44" s="14">
        <f t="shared" si="46"/>
        <v>0.08645853146194239</v>
      </c>
      <c r="CQ44" s="10">
        <f>+'SECURED LOANS'!BV103+'RETAIL CREDIT'!CR42+'UNSECURED LOANS'!CS42+'CAR FINANCE'!CP40</f>
        <v>3225</v>
      </c>
      <c r="CR44" s="14">
        <f t="shared" si="47"/>
        <v>0.080110291377897</v>
      </c>
      <c r="CS44" s="34"/>
      <c r="CT44" s="34"/>
      <c r="CU44" s="100">
        <f>+'SECURED LOANS'!BY103+'RETAIL CREDIT'!CW42+'UNSECURED LOANS'!CX42+'CAR FINANCE'!CU40</f>
        <v>20904555.049999993</v>
      </c>
      <c r="CV44" s="14">
        <f t="shared" si="48"/>
        <v>0.08688080744712233</v>
      </c>
      <c r="CW44" s="10">
        <f>+'SECURED LOANS'!CA103+'RETAIL CREDIT'!CY42+'UNSECURED LOANS'!CZ42+'CAR FINANCE'!CW40</f>
        <v>3436</v>
      </c>
      <c r="CX44" s="14">
        <f t="shared" si="49"/>
        <v>0.07861800709300995</v>
      </c>
      <c r="CY44" s="34"/>
      <c r="CZ44" s="34"/>
    </row>
    <row r="45" spans="1:104" ht="12.75">
      <c r="A45" s="8" t="s">
        <v>42</v>
      </c>
      <c r="B45" s="8"/>
      <c r="C45" s="8"/>
      <c r="D45" s="9">
        <f>+'SECURED LOANS'!D104+'RETAIL CREDIT'!D43+'UNSECURED LOANS'!D43+'CAR FINANCE'!D41</f>
        <v>6731223.75</v>
      </c>
      <c r="E45" s="14">
        <v>0.033</v>
      </c>
      <c r="F45" s="10">
        <f>+'SECURED LOANS'!F104+'RETAIL CREDIT'!F43+'UNSECURED LOANS'!F43+'CAR FINANCE'!F41</f>
        <v>3428</v>
      </c>
      <c r="G45" s="14">
        <v>0.034</v>
      </c>
      <c r="H45" s="14"/>
      <c r="I45" s="9">
        <v>5801315.38</v>
      </c>
      <c r="J45" s="14">
        <v>0.0332</v>
      </c>
      <c r="K45" s="10">
        <v>2765</v>
      </c>
      <c r="L45" s="14">
        <v>0.0339</v>
      </c>
      <c r="M45" s="56"/>
      <c r="N45" s="55"/>
      <c r="O45" s="56"/>
      <c r="P45" s="9">
        <f>+'SECURED LOANS'!Q104+'RETAIL CREDIT'!Q43+'UNSECURED LOANS'!R43+'CAR FINANCE'!P41</f>
        <v>7529624.02</v>
      </c>
      <c r="Q45" s="14">
        <f t="shared" si="50"/>
        <v>0.03346606800286729</v>
      </c>
      <c r="R45" s="10">
        <f>+'SECURED LOANS'!S104+'RETAIL CREDIT'!S43+'UNSECURED LOANS'!T43+'CAR FINANCE'!R41</f>
        <v>3081</v>
      </c>
      <c r="S45" s="14">
        <f t="shared" si="51"/>
        <v>0.03430843067603532</v>
      </c>
      <c r="T45" s="56"/>
      <c r="U45" s="55"/>
      <c r="V45" s="56"/>
      <c r="W45" s="9">
        <f>+'SECURED LOANS'!V104+'RETAIL CREDIT'!X43+'UNSECURED LOANS'!Y43+'CAR FINANCE'!W41</f>
        <v>7426871.53</v>
      </c>
      <c r="X45" s="14">
        <f t="shared" si="52"/>
        <v>0.0330093756356694</v>
      </c>
      <c r="Y45" s="10">
        <f>+'SECURED LOANS'!X104+'RETAIL CREDIT'!Z43+'UNSECURED LOANS'!AA43+'CAR FINANCE'!Y41</f>
        <v>2430</v>
      </c>
      <c r="Z45" s="14">
        <f t="shared" si="28"/>
        <v>0.029146476035119703</v>
      </c>
      <c r="AA45" s="56"/>
      <c r="AB45" s="55"/>
      <c r="AC45" s="56"/>
      <c r="AD45" s="34"/>
      <c r="AE45" s="9">
        <f>+'SECURED LOANS'!AA104+'RETAIL CREDIT'!AE43+'UNSECURED LOANS'!AF43+'CAR FINANCE'!AD41</f>
        <v>7302750.850000001</v>
      </c>
      <c r="AF45" s="14">
        <f t="shared" si="29"/>
        <v>0.031427066546054226</v>
      </c>
      <c r="AG45" s="10">
        <f>+'SECURED LOANS'!AC104+'RETAIL CREDIT'!AG43+'UNSECURED LOANS'!AH43+'CAR FINANCE'!AF41</f>
        <v>2237</v>
      </c>
      <c r="AH45" s="14">
        <f t="shared" si="30"/>
        <v>0.029260954872465664</v>
      </c>
      <c r="AI45" s="56"/>
      <c r="AJ45" s="55"/>
      <c r="AK45" s="56"/>
      <c r="AL45" s="9">
        <f>+'SECURED LOANS'!AF104+'RETAIL CREDIT'!AL43+'UNSECURED LOANS'!AM43+'CAR FINANCE'!AK41</f>
        <v>6370057.83</v>
      </c>
      <c r="AM45" s="14">
        <f t="shared" si="31"/>
        <v>0.027874317869162266</v>
      </c>
      <c r="AN45" s="10">
        <f>+'SECURED LOANS'!AH104+'RETAIL CREDIT'!AN43+'UNSECURED LOANS'!AO43+'CAR FINANCE'!AM41</f>
        <v>2070</v>
      </c>
      <c r="AO45" s="14">
        <f t="shared" si="32"/>
        <v>0.0278979501071443</v>
      </c>
      <c r="AP45" s="56"/>
      <c r="AQ45" s="55"/>
      <c r="AR45" s="56"/>
      <c r="AS45" s="9">
        <f>+'SECURED LOANS'!AK104+'RETAIL CREDIT'!AS43+'UNSECURED LOANS'!AT43+'CAR FINANCE'!AR41</f>
        <v>5890044.650000001</v>
      </c>
      <c r="AT45" s="14">
        <f t="shared" si="33"/>
        <v>0.02606772895398661</v>
      </c>
      <c r="AU45" s="10">
        <f>+'SECURED LOANS'!AM104+'RETAIL CREDIT'!AU43+'UNSECURED LOANS'!AV43+'CAR FINANCE'!AT41</f>
        <v>1889</v>
      </c>
      <c r="AV45" s="14">
        <f t="shared" si="34"/>
        <v>0.02681753006147163</v>
      </c>
      <c r="AW45" s="56"/>
      <c r="AX45" s="55"/>
      <c r="AY45" s="56"/>
      <c r="AZ45" s="9">
        <f>+'SECURED LOANS'!AP104+'RETAIL CREDIT'!AZ43+'UNSECURED LOANS'!BA43+'CAR FINANCE'!AY41</f>
        <v>7050659.32</v>
      </c>
      <c r="BA45" s="14">
        <f t="shared" si="53"/>
        <v>0.026689601938676585</v>
      </c>
      <c r="BB45" s="10">
        <f>+'SECURED LOANS'!AR104+'RETAIL CREDIT'!BB43+'UNSECURED LOANS'!BC43+'CAR FINANCE'!BA41</f>
        <v>1861</v>
      </c>
      <c r="BC45" s="14">
        <f t="shared" si="35"/>
        <v>0.02527536704287713</v>
      </c>
      <c r="BD45" s="56"/>
      <c r="BE45" s="55"/>
      <c r="BF45" s="56"/>
      <c r="BG45" s="9">
        <f>+'SECURED LOANS'!AU104+'RETAIL CREDIT'!BG43+'UNSECURED LOANS'!BH43+'CAR FINANCE'!BE41</f>
        <v>6307573.909999999</v>
      </c>
      <c r="BH45" s="14">
        <f t="shared" si="36"/>
        <v>0.02665746684868691</v>
      </c>
      <c r="BI45" s="10">
        <f>+'SECURED LOANS'!AW104+'RETAIL CREDIT'!BI43+'UNSECURED LOANS'!BJ43+'CAR FINANCE'!BG41</f>
        <v>1614</v>
      </c>
      <c r="BJ45" s="14">
        <f t="shared" si="37"/>
        <v>0.02500890961773866</v>
      </c>
      <c r="BK45" s="56"/>
      <c r="BL45" s="55"/>
      <c r="BM45" s="56"/>
      <c r="BN45" s="9">
        <f>+'SECURED LOANS'!AZ104+'RETAIL CREDIT'!BN43+'UNSECURED LOANS'!BO43+'CAR FINANCE'!BL41</f>
        <v>5790295.19</v>
      </c>
      <c r="BO45" s="14">
        <f t="shared" si="38"/>
        <v>0.026669963183037527</v>
      </c>
      <c r="BP45" s="10">
        <f>+'SECURED LOANS'!BB104+'RETAIL CREDIT'!BP43+'UNSECURED LOANS'!BQ43+'CAR FINANCE'!BN41</f>
        <v>1474</v>
      </c>
      <c r="BQ45" s="14">
        <f t="shared" si="39"/>
        <v>0.025347801413561247</v>
      </c>
      <c r="BR45" s="56"/>
      <c r="BS45" s="55"/>
      <c r="BT45" s="56"/>
      <c r="BU45" s="9">
        <f>+'SECURED LOANS'!BE104+'RETAIL CREDIT'!BU43+'UNSECURED LOANS'!BV43+'CAR FINANCE'!BS41</f>
        <v>6498547.9399999995</v>
      </c>
      <c r="BV45" s="14">
        <f t="shared" si="40"/>
        <v>0.02800069218165613</v>
      </c>
      <c r="BW45" s="10">
        <f>+'SECURED LOANS'!BG104+'RETAIL CREDIT'!BW43+'UNSECURED LOANS'!BX43+'CAR FINANCE'!BU41</f>
        <v>1426</v>
      </c>
      <c r="BX45" s="14">
        <f t="shared" si="41"/>
        <v>0.02553862134426993</v>
      </c>
      <c r="BY45" s="56"/>
      <c r="BZ45" s="55"/>
      <c r="CA45" s="56"/>
      <c r="CB45" s="9">
        <f>+'SECURED LOANS'!BJ104+'RETAIL CREDIT'!CB43+'UNSECURED LOANS'!CC43+'CAR FINANCE'!BZ41</f>
        <v>6730928.16</v>
      </c>
      <c r="CC45" s="14">
        <f t="shared" si="42"/>
        <v>0.028908382526786066</v>
      </c>
      <c r="CD45" s="10">
        <f>+'SECURED LOANS'!BL104+'RETAIL CREDIT'!CD43+'UNSECURED LOANS'!CE43+'CAR FINANCE'!CB41</f>
        <v>1354</v>
      </c>
      <c r="CE45" s="14">
        <f t="shared" si="43"/>
        <v>0.024681906011885232</v>
      </c>
      <c r="CF45" s="56"/>
      <c r="CG45" s="55"/>
      <c r="CH45" s="56"/>
      <c r="CI45" s="9">
        <f>+'SECURED LOANS'!BO104+'RETAIL CREDIT'!CI43+'UNSECURED LOANS'!CJ43+'CAR FINANCE'!CG41</f>
        <v>6751023.369999999</v>
      </c>
      <c r="CJ45" s="14">
        <f t="shared" si="44"/>
        <v>0.030203075590194056</v>
      </c>
      <c r="CK45" s="10">
        <f>+'SECURED LOANS'!BQ104+'RETAIL CREDIT'!CK43+'UNSECURED LOANS'!CL43+'CAR FINANCE'!CI41</f>
        <v>1235</v>
      </c>
      <c r="CL45" s="14">
        <f t="shared" si="45"/>
        <v>0.0262341745262979</v>
      </c>
      <c r="CM45" s="56"/>
      <c r="CN45" s="55"/>
      <c r="CO45" s="9">
        <f>+'SECURED LOANS'!BT104+'RETAIL CREDIT'!CP43+'UNSECURED LOANS'!CQ43+'CAR FINANCE'!CN41</f>
        <v>6945115.359999999</v>
      </c>
      <c r="CP45" s="14">
        <f t="shared" si="46"/>
        <v>0.03262588781036634</v>
      </c>
      <c r="CQ45" s="10">
        <f>+'SECURED LOANS'!BV104+'RETAIL CREDIT'!CR43+'UNSECURED LOANS'!CS43+'CAR FINANCE'!CP41</f>
        <v>1145</v>
      </c>
      <c r="CR45" s="14">
        <f t="shared" si="47"/>
        <v>0.028442258489206847</v>
      </c>
      <c r="CS45" s="34"/>
      <c r="CT45" s="34"/>
      <c r="CU45" s="100">
        <f>+'SECURED LOANS'!BY104+'RETAIL CREDIT'!CW43+'UNSECURED LOANS'!CX43+'CAR FINANCE'!CU41</f>
        <v>7015889.37</v>
      </c>
      <c r="CV45" s="14">
        <f t="shared" si="48"/>
        <v>0.0291585318112419</v>
      </c>
      <c r="CW45" s="10">
        <f>+'SECURED LOANS'!CA104+'RETAIL CREDIT'!CY43+'UNSECURED LOANS'!CZ43+'CAR FINANCE'!CW41</f>
        <v>1114</v>
      </c>
      <c r="CX45" s="14">
        <f t="shared" si="49"/>
        <v>0.025489074476604506</v>
      </c>
      <c r="CY45" s="34"/>
      <c r="CZ45" s="34"/>
    </row>
    <row r="46" spans="1:104" ht="12.75">
      <c r="A46" s="8" t="s">
        <v>36</v>
      </c>
      <c r="B46" s="8"/>
      <c r="C46" s="8"/>
      <c r="D46" s="9">
        <f>+'SECURED LOANS'!D105+'RETAIL CREDIT'!D44+'UNSECURED LOANS'!D44+'CAR FINANCE'!D42</f>
        <v>43243942.850000024</v>
      </c>
      <c r="E46" s="14">
        <v>0.2122</v>
      </c>
      <c r="F46" s="10">
        <f>+'SECURED LOANS'!F105+'RETAIL CREDIT'!F44+'UNSECURED LOANS'!F44+'CAR FINANCE'!F42</f>
        <v>23565</v>
      </c>
      <c r="G46" s="14">
        <v>0.2334</v>
      </c>
      <c r="H46" s="14"/>
      <c r="I46" s="9">
        <v>35841472.35</v>
      </c>
      <c r="J46" s="14">
        <v>0.2051</v>
      </c>
      <c r="K46" s="10">
        <v>18297</v>
      </c>
      <c r="L46" s="14">
        <v>0.2246</v>
      </c>
      <c r="M46" s="56"/>
      <c r="N46" s="55"/>
      <c r="O46" s="56"/>
      <c r="P46" s="9">
        <f>+'SECURED LOANS'!Q105+'RETAIL CREDIT'!Q44+'UNSECURED LOANS'!R44+'CAR FINANCE'!P42</f>
        <v>48759145.890000015</v>
      </c>
      <c r="Q46" s="14">
        <f t="shared" si="50"/>
        <v>0.21671425927538782</v>
      </c>
      <c r="R46" s="10">
        <f>+'SECURED LOANS'!S105+'RETAIL CREDIT'!S44+'UNSECURED LOANS'!T44+'CAR FINANCE'!R42</f>
        <v>20100</v>
      </c>
      <c r="S46" s="14">
        <f t="shared" si="51"/>
        <v>0.22382325757491398</v>
      </c>
      <c r="T46" s="56"/>
      <c r="U46" s="55"/>
      <c r="V46" s="56"/>
      <c r="W46" s="9">
        <f>+'SECURED LOANS'!V105+'RETAIL CREDIT'!X44+'UNSECURED LOANS'!Y44+'CAR FINANCE'!W42</f>
        <v>49427845.35999996</v>
      </c>
      <c r="X46" s="14">
        <f t="shared" si="52"/>
        <v>0.2196863521550665</v>
      </c>
      <c r="Y46" s="10">
        <f>+'SECURED LOANS'!X105+'RETAIL CREDIT'!Z44+'UNSECURED LOANS'!AA44+'CAR FINANCE'!Y42</f>
        <v>17956</v>
      </c>
      <c r="Z46" s="14">
        <f t="shared" si="28"/>
        <v>0.2153720673607446</v>
      </c>
      <c r="AA46" s="56"/>
      <c r="AB46" s="55"/>
      <c r="AC46" s="56"/>
      <c r="AD46" s="34"/>
      <c r="AE46" s="9">
        <f>+'SECURED LOANS'!AA105+'RETAIL CREDIT'!AE44+'UNSECURED LOANS'!AF44+'CAR FINANCE'!AD42</f>
        <v>49920623.23999996</v>
      </c>
      <c r="AF46" s="14">
        <f t="shared" si="29"/>
        <v>0.21483120276299442</v>
      </c>
      <c r="AG46" s="10">
        <f>+'SECURED LOANS'!AC105+'RETAIL CREDIT'!AG44+'UNSECURED LOANS'!AH44+'CAR FINANCE'!AF42</f>
        <v>16492</v>
      </c>
      <c r="AH46" s="14">
        <f t="shared" si="30"/>
        <v>0.21572269457161544</v>
      </c>
      <c r="AI46" s="56"/>
      <c r="AJ46" s="55"/>
      <c r="AK46" s="56"/>
      <c r="AL46" s="9">
        <f>+'SECURED LOANS'!AF105+'RETAIL CREDIT'!AL44+'UNSECURED LOANS'!AM44+'CAR FINANCE'!AK42</f>
        <v>45817201.54999997</v>
      </c>
      <c r="AM46" s="14">
        <f t="shared" si="31"/>
        <v>0.20048848440048983</v>
      </c>
      <c r="AN46" s="10">
        <f>+'SECURED LOANS'!AH105+'RETAIL CREDIT'!AN44+'UNSECURED LOANS'!AO44+'CAR FINANCE'!AM42</f>
        <v>15776</v>
      </c>
      <c r="AO46" s="14">
        <f t="shared" si="32"/>
        <v>0.2126174207199558</v>
      </c>
      <c r="AP46" s="56"/>
      <c r="AQ46" s="55"/>
      <c r="AR46" s="56"/>
      <c r="AS46" s="9">
        <f>+'SECURED LOANS'!AK105+'RETAIL CREDIT'!AS44+'UNSECURED LOANS'!AT44+'CAR FINANCE'!AR42</f>
        <v>42190838.42000002</v>
      </c>
      <c r="AT46" s="14">
        <f t="shared" si="33"/>
        <v>0.18672512784330164</v>
      </c>
      <c r="AU46" s="10">
        <f>+'SECURED LOANS'!AM105+'RETAIL CREDIT'!AU44+'UNSECURED LOANS'!AV44+'CAR FINANCE'!AT42</f>
        <v>14945</v>
      </c>
      <c r="AV46" s="14">
        <f t="shared" si="34"/>
        <v>0.21216939479549682</v>
      </c>
      <c r="AW46" s="56"/>
      <c r="AX46" s="55"/>
      <c r="AY46" s="56"/>
      <c r="AZ46" s="9">
        <f>+'SECURED LOANS'!AP105+'RETAIL CREDIT'!AZ44+'UNSECURED LOANS'!BA44+'CAR FINANCE'!AY42</f>
        <v>51766304.739999995</v>
      </c>
      <c r="BA46" s="14">
        <f t="shared" si="53"/>
        <v>0.19595643536877438</v>
      </c>
      <c r="BB46" s="10">
        <f>+'SECURED LOANS'!AR105+'RETAIL CREDIT'!BB44+'UNSECURED LOANS'!BC44+'CAR FINANCE'!BA42</f>
        <v>15674</v>
      </c>
      <c r="BC46" s="14">
        <f t="shared" si="35"/>
        <v>0.2128780779312499</v>
      </c>
      <c r="BD46" s="56"/>
      <c r="BE46" s="55"/>
      <c r="BF46" s="56"/>
      <c r="BG46" s="9">
        <f>+'SECURED LOANS'!AU105+'RETAIL CREDIT'!BG44+'UNSECURED LOANS'!BH44+'CAR FINANCE'!BE42</f>
        <v>46246984.20999997</v>
      </c>
      <c r="BH46" s="14">
        <f t="shared" si="36"/>
        <v>0.19545192272345824</v>
      </c>
      <c r="BI46" s="10">
        <f>+'SECURED LOANS'!AW105+'RETAIL CREDIT'!BI44+'UNSECURED LOANS'!BJ44+'CAR FINANCE'!BG42</f>
        <v>13644</v>
      </c>
      <c r="BJ46" s="14">
        <f t="shared" si="37"/>
        <v>0.21141360769790973</v>
      </c>
      <c r="BK46" s="56"/>
      <c r="BL46" s="55"/>
      <c r="BM46" s="56"/>
      <c r="BN46" s="9">
        <f>+'SECURED LOANS'!AZ105+'RETAIL CREDIT'!BN44+'UNSECURED LOANS'!BO44+'CAR FINANCE'!BL42</f>
        <v>43885885.05999999</v>
      </c>
      <c r="BO46" s="14">
        <f t="shared" si="38"/>
        <v>0.20213735231091323</v>
      </c>
      <c r="BP46" s="10">
        <f>+'SECURED LOANS'!BB105+'RETAIL CREDIT'!BP44+'UNSECURED LOANS'!BQ44+'CAR FINANCE'!BN42</f>
        <v>12645</v>
      </c>
      <c r="BQ46" s="14">
        <f t="shared" si="39"/>
        <v>0.2174511186394043</v>
      </c>
      <c r="BR46" s="56"/>
      <c r="BS46" s="55"/>
      <c r="BT46" s="56"/>
      <c r="BU46" s="9">
        <f>+'SECURED LOANS'!BE105+'RETAIL CREDIT'!BU44+'UNSECURED LOANS'!BV44+'CAR FINANCE'!BS42</f>
        <v>49138500.620000005</v>
      </c>
      <c r="BV46" s="14">
        <f t="shared" si="40"/>
        <v>0.21172607216755243</v>
      </c>
      <c r="BW46" s="10">
        <f>+'SECURED LOANS'!BG105+'RETAIL CREDIT'!BW44+'UNSECURED LOANS'!BX44+'CAR FINANCE'!BU42</f>
        <v>12251</v>
      </c>
      <c r="BX46" s="14">
        <f t="shared" si="41"/>
        <v>0.21940648673818436</v>
      </c>
      <c r="BY46" s="56"/>
      <c r="BZ46" s="55"/>
      <c r="CA46" s="56"/>
      <c r="CB46" s="9">
        <f>+'SECURED LOANS'!BJ105+'RETAIL CREDIT'!CB44+'UNSECURED LOANS'!CC44+'CAR FINANCE'!BZ42</f>
        <v>50682228.04000002</v>
      </c>
      <c r="CC46" s="14">
        <f t="shared" si="42"/>
        <v>0.21767298664648405</v>
      </c>
      <c r="CD46" s="10">
        <f>+'SECURED LOANS'!BL105+'RETAIL CREDIT'!CD44+'UNSECURED LOANS'!CE44+'CAR FINANCE'!CB42</f>
        <v>11897</v>
      </c>
      <c r="CE46" s="14">
        <f t="shared" si="43"/>
        <v>0.21686900725509498</v>
      </c>
      <c r="CF46" s="56"/>
      <c r="CG46" s="55"/>
      <c r="CH46" s="56"/>
      <c r="CI46" s="9">
        <f>+'SECURED LOANS'!BO105+'RETAIL CREDIT'!CI44+'UNSECURED LOANS'!CJ44+'CAR FINANCE'!CG42</f>
        <v>49556731.06999995</v>
      </c>
      <c r="CJ46" s="14">
        <f t="shared" si="44"/>
        <v>0.221709452401159</v>
      </c>
      <c r="CK46" s="10">
        <f>+'SECURED LOANS'!BQ105+'RETAIL CREDIT'!CK44+'UNSECURED LOANS'!CL44+'CAR FINANCE'!CI42</f>
        <v>10176</v>
      </c>
      <c r="CL46" s="14">
        <f t="shared" si="45"/>
        <v>0.2161611011980627</v>
      </c>
      <c r="CM46" s="56"/>
      <c r="CN46" s="55"/>
      <c r="CO46" s="9">
        <f>+'SECURED LOANS'!BT105+'RETAIL CREDIT'!CP44+'UNSECURED LOANS'!CQ44+'CAR FINANCE'!CN42</f>
        <v>47750960.13999996</v>
      </c>
      <c r="CP46" s="14">
        <f t="shared" si="46"/>
        <v>0.22431844362696288</v>
      </c>
      <c r="CQ46" s="10">
        <f>+'SECURED LOANS'!BV105+'RETAIL CREDIT'!CR44+'UNSECURED LOANS'!CS44+'CAR FINANCE'!CP42</f>
        <v>8558</v>
      </c>
      <c r="CR46" s="14">
        <f t="shared" si="47"/>
        <v>0.21258414685644733</v>
      </c>
      <c r="CS46" s="34"/>
      <c r="CT46" s="34"/>
      <c r="CU46" s="100">
        <f>+'SECURED LOANS'!BY105+'RETAIL CREDIT'!CW44+'UNSECURED LOANS'!CX44+'CAR FINANCE'!CU42</f>
        <v>53274027.96000001</v>
      </c>
      <c r="CV46" s="14">
        <f t="shared" si="48"/>
        <v>0.2214106233811168</v>
      </c>
      <c r="CW46" s="10">
        <f>+'SECURED LOANS'!CA105+'RETAIL CREDIT'!CY44+'UNSECURED LOANS'!CZ44+'CAR FINANCE'!CW42</f>
        <v>8763</v>
      </c>
      <c r="CX46" s="14">
        <f t="shared" si="49"/>
        <v>0.20050337489989703</v>
      </c>
      <c r="CY46" s="34"/>
      <c r="CZ46" s="34"/>
    </row>
    <row r="47" spans="1:104" ht="12.75">
      <c r="A47" s="8" t="s">
        <v>37</v>
      </c>
      <c r="B47" s="8"/>
      <c r="C47" s="8"/>
      <c r="D47" s="9">
        <f>+'SECURED LOANS'!D106+'RETAIL CREDIT'!D45+'UNSECURED LOANS'!D45+'CAR FINANCE'!D43</f>
        <v>13323927.389999999</v>
      </c>
      <c r="E47" s="14">
        <v>0.0654</v>
      </c>
      <c r="F47" s="10">
        <f>+'SECURED LOANS'!F106+'RETAIL CREDIT'!F45+'UNSECURED LOANS'!F45+'CAR FINANCE'!F43</f>
        <v>6722</v>
      </c>
      <c r="G47" s="14">
        <v>0.0666</v>
      </c>
      <c r="H47" s="14"/>
      <c r="I47" s="9">
        <v>11320912.55</v>
      </c>
      <c r="J47" s="14">
        <v>0.0648</v>
      </c>
      <c r="K47" s="10">
        <v>5272</v>
      </c>
      <c r="L47" s="14">
        <v>0.0647</v>
      </c>
      <c r="M47" s="56"/>
      <c r="N47" s="55"/>
      <c r="O47" s="56"/>
      <c r="P47" s="9">
        <f>+'SECURED LOANS'!Q106+'RETAIL CREDIT'!Q45+'UNSECURED LOANS'!R45+'CAR FINANCE'!P43</f>
        <v>15599149.179999992</v>
      </c>
      <c r="Q47" s="14">
        <f t="shared" si="50"/>
        <v>0.06933177351991492</v>
      </c>
      <c r="R47" s="10">
        <f>+'SECURED LOANS'!S106+'RETAIL CREDIT'!S45+'UNSECURED LOANS'!T45+'CAR FINANCE'!R43</f>
        <v>5820</v>
      </c>
      <c r="S47" s="14">
        <f t="shared" si="51"/>
        <v>0.06480852532766165</v>
      </c>
      <c r="T47" s="56"/>
      <c r="U47" s="55"/>
      <c r="V47" s="56"/>
      <c r="W47" s="9">
        <f>+'SECURED LOANS'!V106+'RETAIL CREDIT'!X45+'UNSECURED LOANS'!Y45+'CAR FINANCE'!W43</f>
        <v>16246138.240000004</v>
      </c>
      <c r="X47" s="14">
        <f t="shared" si="52"/>
        <v>0.07220737259651683</v>
      </c>
      <c r="Y47" s="10">
        <f>+'SECURED LOANS'!X106+'RETAIL CREDIT'!Z45+'UNSECURED LOANS'!AA45+'CAR FINANCE'!Y43</f>
        <v>5322</v>
      </c>
      <c r="Z47" s="14">
        <f t="shared" si="28"/>
        <v>0.06383438084728686</v>
      </c>
      <c r="AA47" s="56"/>
      <c r="AB47" s="55"/>
      <c r="AC47" s="56"/>
      <c r="AD47" s="34"/>
      <c r="AE47" s="9">
        <f>+'SECURED LOANS'!AA106+'RETAIL CREDIT'!AE45+'UNSECURED LOANS'!AF45+'CAR FINANCE'!AD43</f>
        <v>16162659.609999992</v>
      </c>
      <c r="AF47" s="14">
        <f t="shared" si="29"/>
        <v>0.069555293554167</v>
      </c>
      <c r="AG47" s="10">
        <f>+'SECURED LOANS'!AC106+'RETAIL CREDIT'!AG45+'UNSECURED LOANS'!AH45+'CAR FINANCE'!AF43</f>
        <v>4873</v>
      </c>
      <c r="AH47" s="14">
        <f t="shared" si="30"/>
        <v>0.06374100719424461</v>
      </c>
      <c r="AI47" s="56"/>
      <c r="AJ47" s="55"/>
      <c r="AK47" s="56"/>
      <c r="AL47" s="9">
        <f>+'SECURED LOANS'!AF106+'RETAIL CREDIT'!AL45+'UNSECURED LOANS'!AM45+'CAR FINANCE'!AK43</f>
        <v>15525163.899999995</v>
      </c>
      <c r="AM47" s="14">
        <f t="shared" si="31"/>
        <v>0.06793554549558034</v>
      </c>
      <c r="AN47" s="10">
        <f>+'SECURED LOANS'!AH106+'RETAIL CREDIT'!AN45+'UNSECURED LOANS'!AO45+'CAR FINANCE'!AM43</f>
        <v>4701</v>
      </c>
      <c r="AO47" s="14">
        <f t="shared" si="32"/>
        <v>0.06335664901144221</v>
      </c>
      <c r="AP47" s="56"/>
      <c r="AQ47" s="55"/>
      <c r="AR47" s="56"/>
      <c r="AS47" s="9">
        <f>+'SECURED LOANS'!AK106+'RETAIL CREDIT'!AS45+'UNSECURED LOANS'!AT45+'CAR FINANCE'!AR43</f>
        <v>14646164.910000004</v>
      </c>
      <c r="AT47" s="14">
        <f t="shared" si="33"/>
        <v>0.06481992578600736</v>
      </c>
      <c r="AU47" s="10">
        <f>+'SECURED LOANS'!AM106+'RETAIL CREDIT'!AU45+'UNSECURED LOANS'!AV45+'CAR FINANCE'!AT43</f>
        <v>4363</v>
      </c>
      <c r="AV47" s="14">
        <f t="shared" si="34"/>
        <v>0.061940118400318</v>
      </c>
      <c r="AW47" s="56"/>
      <c r="AX47" s="55"/>
      <c r="AY47" s="56"/>
      <c r="AZ47" s="9">
        <f>+'SECURED LOANS'!AP106+'RETAIL CREDIT'!AZ45+'UNSECURED LOANS'!BA45+'CAR FINANCE'!AY43</f>
        <v>17491802.649999987</v>
      </c>
      <c r="BA47" s="14">
        <f t="shared" si="53"/>
        <v>0.06621355943182741</v>
      </c>
      <c r="BB47" s="10">
        <f>+'SECURED LOANS'!AR106+'RETAIL CREDIT'!BB45+'UNSECURED LOANS'!BC45+'CAR FINANCE'!BA43</f>
        <v>4615</v>
      </c>
      <c r="BC47" s="14">
        <f t="shared" si="35"/>
        <v>0.06267910741691453</v>
      </c>
      <c r="BD47" s="56"/>
      <c r="BE47" s="55"/>
      <c r="BF47" s="56"/>
      <c r="BG47" s="9">
        <f>+'SECURED LOANS'!AU106+'RETAIL CREDIT'!BG45+'UNSECURED LOANS'!BH45+'CAR FINANCE'!BE43</f>
        <v>15497148.590000004</v>
      </c>
      <c r="BH47" s="14">
        <f t="shared" si="36"/>
        <v>0.06549502719772335</v>
      </c>
      <c r="BI47" s="10">
        <f>+'SECURED LOANS'!AW106+'RETAIL CREDIT'!BI45+'UNSECURED LOANS'!BJ45+'CAR FINANCE'!BG43</f>
        <v>4139</v>
      </c>
      <c r="BJ47" s="14">
        <f t="shared" si="37"/>
        <v>0.06413375273099152</v>
      </c>
      <c r="BK47" s="56"/>
      <c r="BL47" s="55"/>
      <c r="BM47" s="56"/>
      <c r="BN47" s="9">
        <f>+'SECURED LOANS'!AZ106+'RETAIL CREDIT'!BN45+'UNSECURED LOANS'!BO45+'CAR FINANCE'!BL43</f>
        <v>13968104.76</v>
      </c>
      <c r="BO47" s="14">
        <f t="shared" si="38"/>
        <v>0.06433676133289004</v>
      </c>
      <c r="BP47" s="10">
        <f>+'SECURED LOANS'!BB106+'RETAIL CREDIT'!BP45+'UNSECURED LOANS'!BQ45+'CAR FINANCE'!BN43</f>
        <v>3771</v>
      </c>
      <c r="BQ47" s="14">
        <f t="shared" si="39"/>
        <v>0.06484841189317467</v>
      </c>
      <c r="BR47" s="56"/>
      <c r="BS47" s="55"/>
      <c r="BT47" s="56"/>
      <c r="BU47" s="9">
        <f>+'SECURED LOANS'!BE106+'RETAIL CREDIT'!BU45+'UNSECURED LOANS'!BV45+'CAR FINANCE'!BS43</f>
        <v>14992728.16</v>
      </c>
      <c r="BV47" s="14">
        <f t="shared" si="40"/>
        <v>0.06460008759609269</v>
      </c>
      <c r="BW47" s="10">
        <f>+'SECURED LOANS'!BG106+'RETAIL CREDIT'!BW45+'UNSECURED LOANS'!BX45+'CAR FINANCE'!BU43</f>
        <v>3614</v>
      </c>
      <c r="BX47" s="14">
        <f t="shared" si="41"/>
        <v>0.06472410767054104</v>
      </c>
      <c r="BY47" s="56"/>
      <c r="BZ47" s="55"/>
      <c r="CA47" s="56"/>
      <c r="CB47" s="9">
        <f>+'SECURED LOANS'!BJ106+'RETAIL CREDIT'!CB45+'UNSECURED LOANS'!CC45+'CAR FINANCE'!BZ43</f>
        <v>15076234.859999996</v>
      </c>
      <c r="CC47" s="14">
        <f t="shared" si="42"/>
        <v>0.06475029208996146</v>
      </c>
      <c r="CD47" s="10">
        <f>+'SECURED LOANS'!BL106+'RETAIL CREDIT'!CD45+'UNSECURED LOANS'!CE45+'CAR FINANCE'!CB43</f>
        <v>3466</v>
      </c>
      <c r="CE47" s="14">
        <f t="shared" si="43"/>
        <v>0.0631813044587845</v>
      </c>
      <c r="CF47" s="56"/>
      <c r="CG47" s="55"/>
      <c r="CH47" s="56"/>
      <c r="CI47" s="9">
        <f>+'SECURED LOANS'!BO106+'RETAIL CREDIT'!CI45+'UNSECURED LOANS'!CJ45+'CAR FINANCE'!CG43</f>
        <v>14402224.690000001</v>
      </c>
      <c r="CJ47" s="14">
        <f t="shared" si="44"/>
        <v>0.06443341359356444</v>
      </c>
      <c r="CK47" s="10">
        <f>+'SECURED LOANS'!BQ106+'RETAIL CREDIT'!CK45+'UNSECURED LOANS'!CL45+'CAR FINANCE'!CI43</f>
        <v>3021</v>
      </c>
      <c r="CL47" s="14">
        <f t="shared" si="45"/>
        <v>0.06417282691817487</v>
      </c>
      <c r="CM47" s="56"/>
      <c r="CN47" s="55"/>
      <c r="CO47" s="9">
        <f>+'SECURED LOANS'!BT106+'RETAIL CREDIT'!CP45+'UNSECURED LOANS'!CQ45+'CAR FINANCE'!CN43</f>
        <v>14480958.48</v>
      </c>
      <c r="CP47" s="14">
        <f t="shared" si="46"/>
        <v>0.06802682205627944</v>
      </c>
      <c r="CQ47" s="10">
        <f>+'SECURED LOANS'!BV106+'RETAIL CREDIT'!CR45+'UNSECURED LOANS'!CS45+'CAR FINANCE'!CP43</f>
        <v>2664</v>
      </c>
      <c r="CR47" s="14">
        <f t="shared" si="47"/>
        <v>0.06617482673820702</v>
      </c>
      <c r="CS47" s="34"/>
      <c r="CT47" s="34"/>
      <c r="CU47" s="100">
        <f>+'SECURED LOANS'!BY106+'RETAIL CREDIT'!CW45+'UNSECURED LOANS'!CX45+'CAR FINANCE'!CU43</f>
        <v>15807959.150000012</v>
      </c>
      <c r="CV47" s="14">
        <f t="shared" si="48"/>
        <v>0.06569899487256137</v>
      </c>
      <c r="CW47" s="10">
        <f>+'SECURED LOANS'!CA106+'RETAIL CREDIT'!CY45+'UNSECURED LOANS'!CZ45+'CAR FINANCE'!CW43</f>
        <v>2746</v>
      </c>
      <c r="CX47" s="14">
        <f t="shared" si="49"/>
        <v>0.06283033977805744</v>
      </c>
      <c r="CY47" s="34"/>
      <c r="CZ47" s="34"/>
    </row>
    <row r="48" spans="1:104" ht="12.75">
      <c r="A48" s="8" t="s">
        <v>38</v>
      </c>
      <c r="B48" s="8"/>
      <c r="C48" s="8"/>
      <c r="D48" s="9">
        <f>+'SECURED LOANS'!D107+'RETAIL CREDIT'!D46+'UNSECURED LOANS'!D46+'CAR FINANCE'!D44</f>
        <v>6797155.669999999</v>
      </c>
      <c r="E48" s="14">
        <v>0.0334</v>
      </c>
      <c r="F48" s="10">
        <f>+'SECURED LOANS'!F107+'RETAIL CREDIT'!F46+'UNSECURED LOANS'!F46+'CAR FINANCE'!F44</f>
        <v>3539</v>
      </c>
      <c r="G48" s="14">
        <v>0.0351</v>
      </c>
      <c r="H48" s="14"/>
      <c r="I48" s="9">
        <v>5791713.1</v>
      </c>
      <c r="J48" s="14">
        <v>0.0331</v>
      </c>
      <c r="K48" s="10">
        <v>2879</v>
      </c>
      <c r="L48" s="14">
        <v>0.0353</v>
      </c>
      <c r="M48" s="56"/>
      <c r="N48" s="55"/>
      <c r="O48" s="56"/>
      <c r="P48" s="9">
        <f>+'SECURED LOANS'!Q107+'RETAIL CREDIT'!Q46+'UNSECURED LOANS'!R46+'CAR FINANCE'!P44</f>
        <v>7322552.880000008</v>
      </c>
      <c r="Q48" s="14">
        <f t="shared" si="50"/>
        <v>0.032545722334310134</v>
      </c>
      <c r="R48" s="10">
        <f>+'SECURED LOANS'!S107+'RETAIL CREDIT'!S46+'UNSECURED LOANS'!T46+'CAR FINANCE'!R44</f>
        <v>3017</v>
      </c>
      <c r="S48" s="14">
        <f t="shared" si="51"/>
        <v>0.03359575960714007</v>
      </c>
      <c r="T48" s="56"/>
      <c r="U48" s="55"/>
      <c r="V48" s="56"/>
      <c r="W48" s="9">
        <f>+'SECURED LOANS'!V107+'RETAIL CREDIT'!X46+'UNSECURED LOANS'!Y46+'CAR FINANCE'!W44</f>
        <v>7478536.0600000005</v>
      </c>
      <c r="X48" s="14">
        <f t="shared" si="52"/>
        <v>0.033239003126992156</v>
      </c>
      <c r="Y48" s="10">
        <f>+'SECURED LOANS'!X107+'RETAIL CREDIT'!Z46+'UNSECURED LOANS'!AA46+'CAR FINANCE'!Y44</f>
        <v>2727</v>
      </c>
      <c r="Z48" s="14">
        <f t="shared" si="28"/>
        <v>0.03270882310607878</v>
      </c>
      <c r="AA48" s="56"/>
      <c r="AB48" s="55"/>
      <c r="AC48" s="56"/>
      <c r="AD48" s="34"/>
      <c r="AE48" s="9">
        <f>+'SECURED LOANS'!AA107+'RETAIL CREDIT'!AE46+'UNSECURED LOANS'!AF46+'CAR FINANCE'!AD44</f>
        <v>7229772.26</v>
      </c>
      <c r="AF48" s="14">
        <f t="shared" si="29"/>
        <v>0.03111300639920323</v>
      </c>
      <c r="AG48" s="10">
        <f>+'SECURED LOANS'!AC107+'RETAIL CREDIT'!AG46+'UNSECURED LOANS'!AH46+'CAR FINANCE'!AF44</f>
        <v>2376</v>
      </c>
      <c r="AH48" s="14">
        <f t="shared" si="30"/>
        <v>0.03107913669064748</v>
      </c>
      <c r="AI48" s="56"/>
      <c r="AJ48" s="55"/>
      <c r="AK48" s="56"/>
      <c r="AL48" s="9">
        <f>+'SECURED LOANS'!AF107+'RETAIL CREDIT'!AL46+'UNSECURED LOANS'!AM46+'CAR FINANCE'!AK44</f>
        <v>6563100.08</v>
      </c>
      <c r="AM48" s="14">
        <f t="shared" si="31"/>
        <v>0.02871903877786998</v>
      </c>
      <c r="AN48" s="10">
        <f>+'SECURED LOANS'!AH107+'RETAIL CREDIT'!AN46+'UNSECURED LOANS'!AO46+'CAR FINANCE'!AM44</f>
        <v>2255</v>
      </c>
      <c r="AO48" s="14">
        <f t="shared" si="32"/>
        <v>0.03039124516502918</v>
      </c>
      <c r="AP48" s="56"/>
      <c r="AQ48" s="55"/>
      <c r="AR48" s="56"/>
      <c r="AS48" s="9">
        <f>+'SECURED LOANS'!AK107+'RETAIL CREDIT'!AS46+'UNSECURED LOANS'!AT46+'CAR FINANCE'!AR44</f>
        <v>6214934.9399999995</v>
      </c>
      <c r="AT48" s="14">
        <f t="shared" si="33"/>
        <v>0.02750560464470859</v>
      </c>
      <c r="AU48" s="10">
        <f>+'SECURED LOANS'!AM107+'RETAIL CREDIT'!AU46+'UNSECURED LOANS'!AV46+'CAR FINANCE'!AT44</f>
        <v>2095</v>
      </c>
      <c r="AV48" s="14">
        <f t="shared" si="34"/>
        <v>0.029742046309572823</v>
      </c>
      <c r="AW48" s="56"/>
      <c r="AX48" s="55"/>
      <c r="AY48" s="56"/>
      <c r="AZ48" s="9">
        <f>+'SECURED LOANS'!AP107+'RETAIL CREDIT'!AZ46+'UNSECURED LOANS'!BA46+'CAR FINANCE'!AY44</f>
        <v>7615317.9799999995</v>
      </c>
      <c r="BA48" s="14">
        <f t="shared" si="53"/>
        <v>0.028827063725246994</v>
      </c>
      <c r="BB48" s="10">
        <f>+'SECURED LOANS'!AR107+'RETAIL CREDIT'!BB46+'UNSECURED LOANS'!BC46+'CAR FINANCE'!BA44</f>
        <v>2221</v>
      </c>
      <c r="BC48" s="14">
        <f t="shared" si="35"/>
        <v>0.030164744869548683</v>
      </c>
      <c r="BD48" s="56"/>
      <c r="BE48" s="55"/>
      <c r="BF48" s="56"/>
      <c r="BG48" s="9">
        <f>+'SECURED LOANS'!AU107+'RETAIL CREDIT'!BG46+'UNSECURED LOANS'!BH46+'CAR FINANCE'!BE44</f>
        <v>6988295.84</v>
      </c>
      <c r="BH48" s="14">
        <f t="shared" si="36"/>
        <v>0.029534376820899856</v>
      </c>
      <c r="BI48" s="10">
        <f>+'SECURED LOANS'!AW107+'RETAIL CREDIT'!BI46+'UNSECURED LOANS'!BJ46+'CAR FINANCE'!BG44</f>
        <v>1969</v>
      </c>
      <c r="BJ48" s="14">
        <f t="shared" si="37"/>
        <v>0.03050963013465144</v>
      </c>
      <c r="BK48" s="56"/>
      <c r="BL48" s="55"/>
      <c r="BM48" s="56"/>
      <c r="BN48" s="9">
        <f>+'SECURED LOANS'!AZ107+'RETAIL CREDIT'!BN46+'UNSECURED LOANS'!BO46+'CAR FINANCE'!BL44</f>
        <v>6551306.94</v>
      </c>
      <c r="BO48" s="14">
        <f t="shared" si="38"/>
        <v>0.030175165368482405</v>
      </c>
      <c r="BP48" s="10">
        <f>+'SECURED LOANS'!BB107+'RETAIL CREDIT'!BP46+'UNSECURED LOANS'!BQ46+'CAR FINANCE'!BN44</f>
        <v>1865</v>
      </c>
      <c r="BQ48" s="14">
        <f t="shared" si="39"/>
        <v>0.032071675465598186</v>
      </c>
      <c r="BR48" s="56"/>
      <c r="BS48" s="55"/>
      <c r="BT48" s="56"/>
      <c r="BU48" s="9">
        <f>+'SECURED LOANS'!BE107+'RETAIL CREDIT'!BU46+'UNSECURED LOANS'!BV46+'CAR FINANCE'!BS44</f>
        <v>7355393.209999999</v>
      </c>
      <c r="BV48" s="14">
        <f t="shared" si="40"/>
        <v>0.03169263396220381</v>
      </c>
      <c r="BW48" s="10">
        <f>+'SECURED LOANS'!BG107+'RETAIL CREDIT'!BW46+'UNSECURED LOANS'!BX46+'CAR FINANCE'!BU44</f>
        <v>1820</v>
      </c>
      <c r="BX48" s="14">
        <f t="shared" si="41"/>
        <v>0.03259487436645952</v>
      </c>
      <c r="BY48" s="56"/>
      <c r="BZ48" s="55"/>
      <c r="CA48" s="56"/>
      <c r="CB48" s="9">
        <f>+'SECURED LOANS'!BJ107+'RETAIL CREDIT'!CB46+'UNSECURED LOANS'!CC46+'CAR FINANCE'!BZ44</f>
        <v>7520286.149999999</v>
      </c>
      <c r="CC48" s="14">
        <f t="shared" si="42"/>
        <v>0.03229856322446491</v>
      </c>
      <c r="CD48" s="10">
        <f>+'SECURED LOANS'!BL107+'RETAIL CREDIT'!CD46+'UNSECURED LOANS'!CE46+'CAR FINANCE'!CB44</f>
        <v>1807</v>
      </c>
      <c r="CE48" s="14">
        <f t="shared" si="43"/>
        <v>0.032939589485580956</v>
      </c>
      <c r="CF48" s="56"/>
      <c r="CG48" s="55"/>
      <c r="CH48" s="56"/>
      <c r="CI48" s="9">
        <f>+'SECURED LOANS'!BO107+'RETAIL CREDIT'!CI46+'UNSECURED LOANS'!CJ46+'CAR FINANCE'!CG44</f>
        <v>7179136.09</v>
      </c>
      <c r="CJ48" s="14">
        <f t="shared" si="44"/>
        <v>0.0321183882968191</v>
      </c>
      <c r="CK48" s="10">
        <f>+'SECURED LOANS'!BQ107+'RETAIL CREDIT'!CK46+'UNSECURED LOANS'!CL46+'CAR FINANCE'!CI44</f>
        <v>1564</v>
      </c>
      <c r="CL48" s="14">
        <f t="shared" si="45"/>
        <v>0.03322287365111734</v>
      </c>
      <c r="CM48" s="56"/>
      <c r="CN48" s="55"/>
      <c r="CO48" s="9">
        <f>+'SECURED LOANS'!BT107+'RETAIL CREDIT'!CP46+'UNSECURED LOANS'!CQ46+'CAR FINANCE'!CN44</f>
        <v>7202870.27</v>
      </c>
      <c r="CP48" s="14">
        <f t="shared" si="46"/>
        <v>0.03383673634783845</v>
      </c>
      <c r="CQ48" s="10">
        <f>+'SECURED LOANS'!BV107+'RETAIL CREDIT'!CR46+'UNSECURED LOANS'!CS46+'CAR FINANCE'!CP44</f>
        <v>1398</v>
      </c>
      <c r="CR48" s="14">
        <f t="shared" si="47"/>
        <v>0.03472687979730233</v>
      </c>
      <c r="CS48" s="34"/>
      <c r="CT48" s="34"/>
      <c r="CU48" s="100">
        <f>+'SECURED LOANS'!BY107+'RETAIL CREDIT'!CW46+'UNSECURED LOANS'!CX46+'CAR FINANCE'!CU44</f>
        <v>8243781.17</v>
      </c>
      <c r="CV48" s="14">
        <f t="shared" si="48"/>
        <v>0.03426173686806039</v>
      </c>
      <c r="CW48" s="10">
        <f>+'SECURED LOANS'!CA107+'RETAIL CREDIT'!CY46+'UNSECURED LOANS'!CZ46+'CAR FINANCE'!CW44</f>
        <v>1380</v>
      </c>
      <c r="CX48" s="14">
        <f t="shared" si="49"/>
        <v>0.03157533462990505</v>
      </c>
      <c r="CY48" s="34"/>
      <c r="CZ48" s="34"/>
    </row>
    <row r="49" spans="1:104" ht="12.75">
      <c r="A49" s="8" t="s">
        <v>39</v>
      </c>
      <c r="B49" s="8"/>
      <c r="C49" s="8"/>
      <c r="D49" s="9">
        <f>+'SECURED LOANS'!D108+'RETAIL CREDIT'!D47+'UNSECURED LOANS'!D47+'CAR FINANCE'!D45</f>
        <v>11923046.07</v>
      </c>
      <c r="E49" s="14">
        <v>0.0585</v>
      </c>
      <c r="F49" s="10">
        <f>+'SECURED LOANS'!F108+'RETAIL CREDIT'!F47+'UNSECURED LOANS'!F47+'CAR FINANCE'!F45</f>
        <v>7992</v>
      </c>
      <c r="G49" s="14">
        <v>0.0792</v>
      </c>
      <c r="H49" s="14"/>
      <c r="I49" s="9">
        <v>10134133.3</v>
      </c>
      <c r="J49" s="14">
        <v>0.058</v>
      </c>
      <c r="K49" s="10">
        <v>6629</v>
      </c>
      <c r="L49" s="14">
        <v>0.0814</v>
      </c>
      <c r="M49" s="56"/>
      <c r="N49" s="55"/>
      <c r="O49" s="56"/>
      <c r="P49" s="9">
        <f>+'SECURED LOANS'!Q108+'RETAIL CREDIT'!Q47+'UNSECURED LOANS'!R47+'CAR FINANCE'!P45</f>
        <v>13037080.479999978</v>
      </c>
      <c r="Q49" s="14">
        <f t="shared" si="50"/>
        <v>0.05794443663370765</v>
      </c>
      <c r="R49" s="10">
        <f>+'SECURED LOANS'!S108+'RETAIL CREDIT'!S47+'UNSECURED LOANS'!T47+'CAR FINANCE'!R45</f>
        <v>7073</v>
      </c>
      <c r="S49" s="14">
        <f t="shared" si="51"/>
        <v>0.07876128859837644</v>
      </c>
      <c r="T49" s="56"/>
      <c r="U49" s="55"/>
      <c r="V49" s="56"/>
      <c r="W49" s="9">
        <f>+'SECURED LOANS'!V108+'RETAIL CREDIT'!X47+'UNSECURED LOANS'!Y47+'CAR FINANCE'!W45</f>
        <v>13446237.719999999</v>
      </c>
      <c r="X49" s="14">
        <f t="shared" si="52"/>
        <v>0.05976297152752645</v>
      </c>
      <c r="Y49" s="10">
        <f>+'SECURED LOANS'!X108+'RETAIL CREDIT'!Z47+'UNSECURED LOANS'!AA47+'CAR FINANCE'!Y45</f>
        <v>6573</v>
      </c>
      <c r="Z49" s="14">
        <f t="shared" si="28"/>
        <v>0.07883941850981145</v>
      </c>
      <c r="AA49" s="56"/>
      <c r="AB49" s="55"/>
      <c r="AC49" s="56"/>
      <c r="AD49" s="34"/>
      <c r="AE49" s="9">
        <f>+'SECURED LOANS'!AA108+'RETAIL CREDIT'!AE47+'UNSECURED LOANS'!AF47+'CAR FINANCE'!AD45</f>
        <v>12479024.85</v>
      </c>
      <c r="AF49" s="14">
        <f t="shared" si="29"/>
        <v>0.053702933654215294</v>
      </c>
      <c r="AG49" s="10">
        <f>+'SECURED LOANS'!AC108+'RETAIL CREDIT'!AG47+'UNSECURED LOANS'!AH47+'CAR FINANCE'!AF45</f>
        <v>5945</v>
      </c>
      <c r="AH49" s="14">
        <f t="shared" si="30"/>
        <v>0.07776324395029431</v>
      </c>
      <c r="AI49" s="56"/>
      <c r="AJ49" s="55"/>
      <c r="AK49" s="56"/>
      <c r="AL49" s="9">
        <f>+'SECURED LOANS'!AF108+'RETAIL CREDIT'!AL47+'UNSECURED LOANS'!AM47+'CAR FINANCE'!AK45</f>
        <v>12829985.190000001</v>
      </c>
      <c r="AM49" s="14">
        <f t="shared" si="31"/>
        <v>0.05614188991478972</v>
      </c>
      <c r="AN49" s="10">
        <f>+'SECURED LOANS'!AH108+'RETAIL CREDIT'!AN47+'UNSECURED LOANS'!AO47+'CAR FINANCE'!AM45</f>
        <v>5663</v>
      </c>
      <c r="AO49" s="14">
        <f t="shared" si="32"/>
        <v>0.07632178331244356</v>
      </c>
      <c r="AP49" s="56"/>
      <c r="AQ49" s="55"/>
      <c r="AR49" s="56"/>
      <c r="AS49" s="9">
        <f>+'SECURED LOANS'!AK108+'RETAIL CREDIT'!AS47+'UNSECURED LOANS'!AT47+'CAR FINANCE'!AR45</f>
        <v>12310968.309999999</v>
      </c>
      <c r="AT49" s="14">
        <f t="shared" si="33"/>
        <v>0.05448498341454822</v>
      </c>
      <c r="AU49" s="10">
        <f>+'SECURED LOANS'!AM108+'RETAIL CREDIT'!AU47+'UNSECURED LOANS'!AV47+'CAR FINANCE'!AT45</f>
        <v>5203</v>
      </c>
      <c r="AV49" s="14">
        <f t="shared" si="34"/>
        <v>0.07386533028577918</v>
      </c>
      <c r="AW49" s="56"/>
      <c r="AX49" s="55"/>
      <c r="AY49" s="56"/>
      <c r="AZ49" s="9">
        <f>+'SECURED LOANS'!AP108+'RETAIL CREDIT'!AZ47+'UNSECURED LOANS'!BA47+'CAR FINANCE'!AY45</f>
        <v>13969333.79999999</v>
      </c>
      <c r="BA49" s="14">
        <f t="shared" si="53"/>
        <v>0.05287958778733051</v>
      </c>
      <c r="BB49" s="10">
        <f>+'SECURED LOANS'!AR108+'RETAIL CREDIT'!BB47+'UNSECURED LOANS'!BC47+'CAR FINANCE'!BA45</f>
        <v>5059</v>
      </c>
      <c r="BC49" s="14">
        <f t="shared" si="35"/>
        <v>0.06870934006980944</v>
      </c>
      <c r="BD49" s="56"/>
      <c r="BE49" s="55"/>
      <c r="BF49" s="56"/>
      <c r="BG49" s="9">
        <f>+'SECURED LOANS'!AU108+'RETAIL CREDIT'!BG47+'UNSECURED LOANS'!BH47+'CAR FINANCE'!BE45</f>
        <v>12348806.12</v>
      </c>
      <c r="BH49" s="14">
        <f t="shared" si="36"/>
        <v>0.05218930359941863</v>
      </c>
      <c r="BI49" s="10">
        <f>+'SECURED LOANS'!AW108+'RETAIL CREDIT'!BI47+'UNSECURED LOANS'!BJ47+'CAR FINANCE'!BG45</f>
        <v>4429</v>
      </c>
      <c r="BJ49" s="14">
        <f t="shared" si="37"/>
        <v>0.06862729906875126</v>
      </c>
      <c r="BK49" s="56"/>
      <c r="BL49" s="55"/>
      <c r="BM49" s="56"/>
      <c r="BN49" s="9">
        <f>+'SECURED LOANS'!AZ108+'RETAIL CREDIT'!BN47+'UNSECURED LOANS'!BO47+'CAR FINANCE'!BL45</f>
        <v>11372910.799999999</v>
      </c>
      <c r="BO49" s="14">
        <f t="shared" si="38"/>
        <v>0.05238335911505918</v>
      </c>
      <c r="BP49" s="10">
        <f>+'SECURED LOANS'!BB108+'RETAIL CREDIT'!BP47+'UNSECURED LOANS'!BQ47+'CAR FINANCE'!BN45</f>
        <v>3809</v>
      </c>
      <c r="BQ49" s="14">
        <f t="shared" si="39"/>
        <v>0.06550188302866675</v>
      </c>
      <c r="BR49" s="56"/>
      <c r="BS49" s="55"/>
      <c r="BT49" s="56"/>
      <c r="BU49" s="9">
        <f>+'SECURED LOANS'!BE108+'RETAIL CREDIT'!BU47+'UNSECURED LOANS'!BV47+'CAR FINANCE'!BS45</f>
        <v>12143915.21</v>
      </c>
      <c r="BV49" s="14">
        <f t="shared" si="40"/>
        <v>0.05232523246960028</v>
      </c>
      <c r="BW49" s="10">
        <f>+'SECURED LOANS'!BG108+'RETAIL CREDIT'!BW47+'UNSECURED LOANS'!BX47+'CAR FINANCE'!BU45</f>
        <v>3421</v>
      </c>
      <c r="BX49" s="14">
        <f t="shared" si="41"/>
        <v>0.06126761824596594</v>
      </c>
      <c r="BY49" s="56"/>
      <c r="BZ49" s="55"/>
      <c r="CA49" s="56"/>
      <c r="CB49" s="9">
        <f>+'SECURED LOANS'!BJ108+'RETAIL CREDIT'!CB47+'UNSECURED LOANS'!CC47+'CAR FINANCE'!BZ45</f>
        <v>12288924.03</v>
      </c>
      <c r="CC49" s="14">
        <f t="shared" si="42"/>
        <v>0.05277918709829959</v>
      </c>
      <c r="CD49" s="10">
        <f>+'SECURED LOANS'!BL108+'RETAIL CREDIT'!CD47+'UNSECURED LOANS'!CE47+'CAR FINANCE'!CB45</f>
        <v>3311</v>
      </c>
      <c r="CE49" s="14">
        <f t="shared" si="43"/>
        <v>0.06035582777352437</v>
      </c>
      <c r="CF49" s="56"/>
      <c r="CG49" s="55"/>
      <c r="CH49" s="56"/>
      <c r="CI49" s="9">
        <f>+'SECURED LOANS'!BO108+'RETAIL CREDIT'!CI47+'UNSECURED LOANS'!CJ47+'CAR FINANCE'!CG45</f>
        <v>11743729.68</v>
      </c>
      <c r="CJ49" s="14">
        <f t="shared" si="44"/>
        <v>0.05253970187868651</v>
      </c>
      <c r="CK49" s="10">
        <f>+'SECURED LOANS'!BQ108+'RETAIL CREDIT'!CK47+'UNSECURED LOANS'!CL47+'CAR FINANCE'!CI45</f>
        <v>2875</v>
      </c>
      <c r="CL49" s="14">
        <f t="shared" si="45"/>
        <v>0.06107145891749512</v>
      </c>
      <c r="CM49" s="56"/>
      <c r="CN49" s="55"/>
      <c r="CO49" s="9">
        <f>+'SECURED LOANS'!BT108+'RETAIL CREDIT'!CP47+'UNSECURED LOANS'!CQ47+'CAR FINANCE'!CN45</f>
        <v>11036681.28</v>
      </c>
      <c r="CP49" s="14">
        <f t="shared" si="46"/>
        <v>0.051846730626523445</v>
      </c>
      <c r="CQ49" s="10">
        <f>+'SECURED LOANS'!BV108+'RETAIL CREDIT'!CR47+'UNSECURED LOANS'!CS47+'CAR FINANCE'!CP45</f>
        <v>2432</v>
      </c>
      <c r="CR49" s="14">
        <f t="shared" si="47"/>
        <v>0.06041185383908389</v>
      </c>
      <c r="CS49" s="34"/>
      <c r="CT49" s="34"/>
      <c r="CU49" s="100">
        <f>+'SECURED LOANS'!BY108+'RETAIL CREDIT'!CW47+'UNSECURED LOANS'!CX47+'CAR FINANCE'!CU45</f>
        <v>12101588.79</v>
      </c>
      <c r="CV49" s="14">
        <f t="shared" si="48"/>
        <v>0.05029505784521562</v>
      </c>
      <c r="CW49" s="10">
        <f>+'SECURED LOANS'!CA108+'RETAIL CREDIT'!CY47+'UNSECURED LOANS'!CZ47+'CAR FINANCE'!CW45</f>
        <v>2463</v>
      </c>
      <c r="CX49" s="14">
        <f t="shared" si="49"/>
        <v>0.05635510811120009</v>
      </c>
      <c r="CY49" s="34"/>
      <c r="CZ49" s="34"/>
    </row>
    <row r="50" spans="1:104" ht="12.75">
      <c r="A50" s="8" t="s">
        <v>40</v>
      </c>
      <c r="B50" s="8"/>
      <c r="C50" s="8"/>
      <c r="D50" s="9">
        <f>+'SECURED LOANS'!D109+'RETAIL CREDIT'!D48+'UNSECURED LOANS'!D48+'CAR FINANCE'!D46</f>
        <v>25434610.350000024</v>
      </c>
      <c r="E50" s="14">
        <v>0.1248</v>
      </c>
      <c r="F50" s="10">
        <f>+'SECURED LOANS'!F109+'RETAIL CREDIT'!F48+'UNSECURED LOANS'!F48+'CAR FINANCE'!F46</f>
        <v>14728</v>
      </c>
      <c r="G50" s="14">
        <v>0.1459</v>
      </c>
      <c r="H50" s="14"/>
      <c r="I50" s="9">
        <v>22044358.85</v>
      </c>
      <c r="J50" s="14">
        <v>0.1262</v>
      </c>
      <c r="K50" s="10">
        <v>12719</v>
      </c>
      <c r="L50" s="14">
        <v>0.1562</v>
      </c>
      <c r="M50" s="56"/>
      <c r="N50" s="55"/>
      <c r="O50" s="56"/>
      <c r="P50" s="9">
        <f>+'SECURED LOANS'!Q109+'RETAIL CREDIT'!Q48+'UNSECURED LOANS'!R48+'CAR FINANCE'!P46</f>
        <v>28017749.659999967</v>
      </c>
      <c r="Q50" s="14">
        <f t="shared" si="50"/>
        <v>0.1245273220705741</v>
      </c>
      <c r="R50" s="10">
        <f>+'SECURED LOANS'!S109+'RETAIL CREDIT'!S48+'UNSECURED LOANS'!T48+'CAR FINANCE'!R46</f>
        <v>13989</v>
      </c>
      <c r="S50" s="14">
        <f t="shared" si="51"/>
        <v>0.15577430598086925</v>
      </c>
      <c r="T50" s="56"/>
      <c r="U50" s="55"/>
      <c r="V50" s="56"/>
      <c r="W50" s="9">
        <f>+'SECURED LOANS'!V109+'RETAIL CREDIT'!X48+'UNSECURED LOANS'!Y48+'CAR FINANCE'!W46</f>
        <v>31210765.390000053</v>
      </c>
      <c r="X50" s="14">
        <f t="shared" si="52"/>
        <v>0.13871895783758917</v>
      </c>
      <c r="Y50" s="10">
        <f>+'SECURED LOANS'!X109+'RETAIL CREDIT'!Z48+'UNSECURED LOANS'!AA48+'CAR FINANCE'!Y46</f>
        <v>12796</v>
      </c>
      <c r="Z50" s="14">
        <f t="shared" si="28"/>
        <v>0.15348078491579906</v>
      </c>
      <c r="AA50" s="56"/>
      <c r="AB50" s="55"/>
      <c r="AC50" s="56"/>
      <c r="AD50" s="34"/>
      <c r="AE50" s="9">
        <f>+'SECURED LOANS'!AA109+'RETAIL CREDIT'!AE48+'UNSECURED LOANS'!AF48+'CAR FINANCE'!AD46</f>
        <v>30435145.429999992</v>
      </c>
      <c r="AF50" s="14">
        <f t="shared" si="29"/>
        <v>0.13097630747835906</v>
      </c>
      <c r="AG50" s="10">
        <f>+'SECURED LOANS'!AC109+'RETAIL CREDIT'!AG48+'UNSECURED LOANS'!AH48+'CAR FINANCE'!AF46</f>
        <v>11182</v>
      </c>
      <c r="AH50" s="14">
        <f t="shared" si="30"/>
        <v>0.14626553302812295</v>
      </c>
      <c r="AI50" s="56"/>
      <c r="AJ50" s="55"/>
      <c r="AK50" s="56"/>
      <c r="AL50" s="9">
        <f>+'SECURED LOANS'!AF109+'RETAIL CREDIT'!AL48+'UNSECURED LOANS'!AM48+'CAR FINANCE'!AK46</f>
        <v>33455769.01999999</v>
      </c>
      <c r="AM50" s="14">
        <f t="shared" si="31"/>
        <v>0.14639690331049177</v>
      </c>
      <c r="AN50" s="10">
        <f>+'SECURED LOANS'!AH109+'RETAIL CREDIT'!AN48+'UNSECURED LOANS'!AO48+'CAR FINANCE'!AM46</f>
        <v>10589</v>
      </c>
      <c r="AO50" s="14">
        <f t="shared" si="32"/>
        <v>0.1427108182050971</v>
      </c>
      <c r="AP50" s="56"/>
      <c r="AQ50" s="55"/>
      <c r="AR50" s="56"/>
      <c r="AS50" s="9">
        <f>+'SECURED LOANS'!AK109+'RETAIL CREDIT'!AS48+'UNSECURED LOANS'!AT48+'CAR FINANCE'!AR46</f>
        <v>37376331.33999998</v>
      </c>
      <c r="AT50" s="14">
        <f t="shared" si="33"/>
        <v>0.16541743442734588</v>
      </c>
      <c r="AU50" s="10">
        <f>+'SECURED LOANS'!AM109+'RETAIL CREDIT'!AU48+'UNSECURED LOANS'!AV48+'CAR FINANCE'!AT46</f>
        <v>10061</v>
      </c>
      <c r="AV50" s="14">
        <f t="shared" si="34"/>
        <v>0.14283280569002968</v>
      </c>
      <c r="AW50" s="56"/>
      <c r="AX50" s="55"/>
      <c r="AY50" s="56"/>
      <c r="AZ50" s="9">
        <f>+'SECURED LOANS'!AP109+'RETAIL CREDIT'!AZ48+'UNSECURED LOANS'!BA48+'CAR FINANCE'!AY46</f>
        <v>43549904.07000001</v>
      </c>
      <c r="BA50" s="14">
        <f t="shared" si="53"/>
        <v>0.1648540301470489</v>
      </c>
      <c r="BB50" s="10">
        <f>+'SECURED LOANS'!AR109+'RETAIL CREDIT'!BB48+'UNSECURED LOANS'!BC48+'CAR FINANCE'!BA46</f>
        <v>10393</v>
      </c>
      <c r="BC50" s="14">
        <f t="shared" si="35"/>
        <v>0.141153621534993</v>
      </c>
      <c r="BD50" s="56"/>
      <c r="BE50" s="55"/>
      <c r="BF50" s="56"/>
      <c r="BG50" s="9">
        <f>+'SECURED LOANS'!AU109+'RETAIL CREDIT'!BG48+'UNSECURED LOANS'!BH48+'CAR FINANCE'!BE46</f>
        <v>39376683.640000015</v>
      </c>
      <c r="BH50" s="14">
        <f t="shared" si="36"/>
        <v>0.1664162249578036</v>
      </c>
      <c r="BI50" s="10">
        <f>+'SECURED LOANS'!AW109+'RETAIL CREDIT'!BI48+'UNSECURED LOANS'!BJ48+'CAR FINANCE'!BG46</f>
        <v>9293</v>
      </c>
      <c r="BJ50" s="14">
        <f t="shared" si="37"/>
        <v>0.14399491764414213</v>
      </c>
      <c r="BK50" s="56"/>
      <c r="BL50" s="55"/>
      <c r="BM50" s="56"/>
      <c r="BN50" s="9">
        <f>+'SECURED LOANS'!AZ109+'RETAIL CREDIT'!BN48+'UNSECURED LOANS'!BO48+'CAR FINANCE'!BL46</f>
        <v>36212882.57000002</v>
      </c>
      <c r="BO50" s="14">
        <f t="shared" si="38"/>
        <v>0.16679568367455924</v>
      </c>
      <c r="BP50" s="10">
        <f>+'SECURED LOANS'!BB109+'RETAIL CREDIT'!BP48+'UNSECURED LOANS'!BQ48+'CAR FINANCE'!BN46</f>
        <v>8547</v>
      </c>
      <c r="BQ50" s="14">
        <f t="shared" si="39"/>
        <v>0.146979415659232</v>
      </c>
      <c r="BR50" s="56"/>
      <c r="BS50" s="55"/>
      <c r="BT50" s="56"/>
      <c r="BU50" s="9">
        <f>+'SECURED LOANS'!BE109+'RETAIL CREDIT'!BU48+'UNSECURED LOANS'!BV48+'CAR FINANCE'!BS46</f>
        <v>36229755.44</v>
      </c>
      <c r="BV50" s="14">
        <f t="shared" si="40"/>
        <v>0.15610536988546422</v>
      </c>
      <c r="BW50" s="10">
        <f>+'SECURED LOANS'!BG109+'RETAIL CREDIT'!BW48+'UNSECURED LOANS'!BX48+'CAR FINANCE'!BU46</f>
        <v>8259</v>
      </c>
      <c r="BX50" s="14">
        <f t="shared" si="41"/>
        <v>0.1479126743915325</v>
      </c>
      <c r="BY50" s="56"/>
      <c r="BZ50" s="55"/>
      <c r="CA50" s="56"/>
      <c r="CB50" s="9">
        <f>+'SECURED LOANS'!BJ109+'RETAIL CREDIT'!CB48+'UNSECURED LOANS'!CC48+'CAR FINANCE'!BZ46</f>
        <v>35370855.05000004</v>
      </c>
      <c r="CC50" s="14">
        <f t="shared" si="42"/>
        <v>0.1519128096124122</v>
      </c>
      <c r="CD50" s="10">
        <f>+'SECURED LOANS'!BL109+'RETAIL CREDIT'!CD48+'UNSECURED LOANS'!CE48+'CAR FINANCE'!CB46</f>
        <v>8235</v>
      </c>
      <c r="CE50" s="14">
        <f t="shared" si="43"/>
        <v>0.15011484195559444</v>
      </c>
      <c r="CF50" s="56"/>
      <c r="CG50" s="55"/>
      <c r="CH50" s="56"/>
      <c r="CI50" s="9">
        <f>+'SECURED LOANS'!BO109+'RETAIL CREDIT'!CI48+'UNSECURED LOANS'!CJ48+'CAR FINANCE'!CG46</f>
        <v>33449402.090000026</v>
      </c>
      <c r="CJ50" s="14">
        <f t="shared" si="44"/>
        <v>0.14964765553330708</v>
      </c>
      <c r="CK50" s="10">
        <f>+'SECURED LOANS'!BQ109+'RETAIL CREDIT'!CK48+'UNSECURED LOANS'!CL48+'CAR FINANCE'!CI46</f>
        <v>7334</v>
      </c>
      <c r="CL50" s="14">
        <f t="shared" si="45"/>
        <v>0.15579063641770755</v>
      </c>
      <c r="CM50" s="56"/>
      <c r="CN50" s="55"/>
      <c r="CO50" s="9">
        <f>+'SECURED LOANS'!BT109+'RETAIL CREDIT'!CP48+'UNSECURED LOANS'!CQ48+'CAR FINANCE'!CN46</f>
        <v>30295248.440000005</v>
      </c>
      <c r="CP50" s="14">
        <f t="shared" si="46"/>
        <v>0.14231720073122242</v>
      </c>
      <c r="CQ50" s="10">
        <f>+'SECURED LOANS'!BV109+'RETAIL CREDIT'!CR48+'UNSECURED LOANS'!CS48+'CAR FINANCE'!CP46</f>
        <v>6371</v>
      </c>
      <c r="CR50" s="14">
        <f t="shared" si="47"/>
        <v>0.1582581911220409</v>
      </c>
      <c r="CS50" s="34"/>
      <c r="CT50" s="34"/>
      <c r="CU50" s="100">
        <f>+'SECURED LOANS'!BY109+'RETAIL CREDIT'!CW48+'UNSECURED LOANS'!CX48+'CAR FINANCE'!CU46</f>
        <v>37423653.27999997</v>
      </c>
      <c r="CV50" s="14">
        <f t="shared" si="48"/>
        <v>0.1555353465697203</v>
      </c>
      <c r="CW50" s="10">
        <f>+'SECURED LOANS'!CA109+'RETAIL CREDIT'!CY48+'UNSECURED LOANS'!CZ48+'CAR FINANCE'!CW46</f>
        <v>7871</v>
      </c>
      <c r="CX50" s="14">
        <f t="shared" si="49"/>
        <v>0.180093810776799</v>
      </c>
      <c r="CY50" s="34"/>
      <c r="CZ50" s="34"/>
    </row>
    <row r="51" spans="1:104" ht="12.75">
      <c r="A51" s="8" t="s">
        <v>41</v>
      </c>
      <c r="B51" s="8"/>
      <c r="C51" s="8"/>
      <c r="D51" s="9">
        <f>+'SECURED LOANS'!D110+'RETAIL CREDIT'!D49+'UNSECURED LOANS'!D49+'CAR FINANCE'!D47</f>
        <v>315582.65</v>
      </c>
      <c r="E51" s="14">
        <v>0.0015</v>
      </c>
      <c r="F51" s="10">
        <f>+'SECURED LOANS'!F110+'RETAIL CREDIT'!F49+'UNSECURED LOANS'!F49+'CAR FINANCE'!F47</f>
        <v>352</v>
      </c>
      <c r="G51" s="14">
        <v>0.0035</v>
      </c>
      <c r="H51" s="14"/>
      <c r="I51" s="9">
        <v>281516.86</v>
      </c>
      <c r="J51" s="14">
        <v>0.0016</v>
      </c>
      <c r="K51" s="10">
        <v>335</v>
      </c>
      <c r="L51" s="14">
        <v>0.0041</v>
      </c>
      <c r="M51" s="56"/>
      <c r="N51" s="55"/>
      <c r="O51" s="56"/>
      <c r="P51" s="9">
        <f>+'SECURED LOANS'!Q110+'RETAIL CREDIT'!Q49+'UNSECURED LOANS'!R49+'CAR FINANCE'!P47</f>
        <v>2908915.64</v>
      </c>
      <c r="Q51" s="14">
        <f t="shared" si="50"/>
        <v>0.012928928239214292</v>
      </c>
      <c r="R51" s="10">
        <f>+'SECURED LOANS'!S110+'RETAIL CREDIT'!S49+'UNSECURED LOANS'!T49+'CAR FINANCE'!R47</f>
        <v>879</v>
      </c>
      <c r="S51" s="14">
        <f t="shared" si="51"/>
        <v>0.009788091711858179</v>
      </c>
      <c r="T51" s="56"/>
      <c r="U51" s="55"/>
      <c r="V51" s="56"/>
      <c r="W51" s="9">
        <f>+'SECURED LOANS'!V110+'RETAIL CREDIT'!X49+'UNSECURED LOANS'!Y49+'CAR FINANCE'!W47</f>
        <v>2752894.61</v>
      </c>
      <c r="X51" s="14">
        <f t="shared" si="52"/>
        <v>0.012235479218919465</v>
      </c>
      <c r="Y51" s="10">
        <f>+'SECURED LOANS'!X110+'RETAIL CREDIT'!Z49+'UNSECURED LOANS'!AA49+'CAR FINANCE'!Y47</f>
        <v>845</v>
      </c>
      <c r="Z51" s="14">
        <f t="shared" si="28"/>
        <v>0.010135297222088951</v>
      </c>
      <c r="AA51" s="56"/>
      <c r="AB51" s="55"/>
      <c r="AC51" s="56"/>
      <c r="AD51" s="34"/>
      <c r="AE51" s="9">
        <f>+'SECURED LOANS'!AA110+'RETAIL CREDIT'!AE49+'UNSECURED LOANS'!AF49+'CAR FINANCE'!AD47</f>
        <v>2414605.11</v>
      </c>
      <c r="AF51" s="14">
        <f t="shared" si="29"/>
        <v>0.010391146710751139</v>
      </c>
      <c r="AG51" s="10">
        <f>+'SECURED LOANS'!AC110+'RETAIL CREDIT'!AG49+'UNSECURED LOANS'!AH49+'CAR FINANCE'!AF47</f>
        <v>769</v>
      </c>
      <c r="AH51" s="14">
        <f t="shared" si="30"/>
        <v>0.010058862001308044</v>
      </c>
      <c r="AI51" s="56"/>
      <c r="AJ51" s="55"/>
      <c r="AK51" s="56"/>
      <c r="AL51" s="9">
        <f>+'SECURED LOANS'!AF110+'RETAIL CREDIT'!AL49+'UNSECURED LOANS'!AM49+'CAR FINANCE'!AK47</f>
        <v>2658670.52</v>
      </c>
      <c r="AM51" s="14">
        <f t="shared" si="31"/>
        <v>0.011633901788902744</v>
      </c>
      <c r="AN51" s="10">
        <f>+'SECURED LOANS'!AH110+'RETAIL CREDIT'!AN49+'UNSECURED LOANS'!AO49+'CAR FINANCE'!AM47</f>
        <v>807</v>
      </c>
      <c r="AO51" s="14">
        <f t="shared" si="32"/>
        <v>0.010876157360611328</v>
      </c>
      <c r="AP51" s="56"/>
      <c r="AQ51" s="55"/>
      <c r="AR51" s="56"/>
      <c r="AS51" s="9">
        <f>+'SECURED LOANS'!AK110+'RETAIL CREDIT'!AS49+'UNSECURED LOANS'!AT49+'CAR FINANCE'!AR47</f>
        <v>2513357.84</v>
      </c>
      <c r="AT51" s="14">
        <f t="shared" si="33"/>
        <v>0.011123435360969162</v>
      </c>
      <c r="AU51" s="10">
        <f>+'SECURED LOANS'!AM110+'RETAIL CREDIT'!AU49+'UNSECURED LOANS'!AV49+'CAR FINANCE'!AT47</f>
        <v>784</v>
      </c>
      <c r="AV51" s="14">
        <f t="shared" si="34"/>
        <v>0.011130197759763767</v>
      </c>
      <c r="AW51" s="56"/>
      <c r="AX51" s="55"/>
      <c r="AY51" s="56"/>
      <c r="AZ51" s="9">
        <f>+'SECURED LOANS'!AP110+'RETAIL CREDIT'!AZ49+'UNSECURED LOANS'!BA49+'CAR FINANCE'!AY47</f>
        <v>2507406.27</v>
      </c>
      <c r="BA51" s="14">
        <f t="shared" si="53"/>
        <v>0.009491548549936437</v>
      </c>
      <c r="BB51" s="10">
        <f>+'SECURED LOANS'!AR110+'RETAIL CREDIT'!BB49+'UNSECURED LOANS'!BC49+'CAR FINANCE'!BA47</f>
        <v>782</v>
      </c>
      <c r="BC51" s="14">
        <f t="shared" si="35"/>
        <v>0.010620815167936547</v>
      </c>
      <c r="BD51" s="56"/>
      <c r="BE51" s="55"/>
      <c r="BF51" s="56"/>
      <c r="BG51" s="9">
        <f>+'SECURED LOANS'!AU110+'RETAIL CREDIT'!BG49+'UNSECURED LOANS'!BH49+'CAR FINANCE'!BE47</f>
        <v>1546020.22</v>
      </c>
      <c r="BH51" s="14">
        <f t="shared" si="36"/>
        <v>0.006533888203309163</v>
      </c>
      <c r="BI51" s="10">
        <f>+'SECURED LOANS'!AW110+'RETAIL CREDIT'!BI49+'UNSECURED LOANS'!BJ49+'CAR FINANCE'!BG47</f>
        <v>621</v>
      </c>
      <c r="BJ51" s="14">
        <f t="shared" si="37"/>
        <v>0.009622387157754467</v>
      </c>
      <c r="BK51" s="56"/>
      <c r="BL51" s="55"/>
      <c r="BM51" s="56"/>
      <c r="BN51" s="9">
        <f>+'SECURED LOANS'!AZ110+'RETAIL CREDIT'!BN49+'UNSECURED LOANS'!BO49+'CAR FINANCE'!BL47</f>
        <v>984346.1599999999</v>
      </c>
      <c r="BO51" s="14">
        <f t="shared" si="38"/>
        <v>0.0045338752144973744</v>
      </c>
      <c r="BP51" s="10">
        <f>+'SECURED LOANS'!BB110+'RETAIL CREDIT'!BP49+'UNSECURED LOANS'!BQ49+'CAR FINANCE'!BN47</f>
        <v>385</v>
      </c>
      <c r="BQ51" s="14">
        <f t="shared" si="39"/>
        <v>0.006620694399064504</v>
      </c>
      <c r="BR51" s="56"/>
      <c r="BS51" s="55"/>
      <c r="BT51" s="56"/>
      <c r="BU51" s="9">
        <f>+'SECURED LOANS'!BE110+'RETAIL CREDIT'!BU49+'UNSECURED LOANS'!BV49+'CAR FINANCE'!BS47</f>
        <v>825314.05</v>
      </c>
      <c r="BV51" s="14">
        <f t="shared" si="40"/>
        <v>0.0035560812785580464</v>
      </c>
      <c r="BW51" s="10">
        <f>+'SECURED LOANS'!BG110+'RETAIL CREDIT'!BW49+'UNSECURED LOANS'!BX49+'CAR FINANCE'!BU47</f>
        <v>351</v>
      </c>
      <c r="BX51" s="14">
        <f t="shared" si="41"/>
        <v>0.006286154342102906</v>
      </c>
      <c r="BY51" s="56"/>
      <c r="BZ51" s="55"/>
      <c r="CA51" s="56"/>
      <c r="CB51" s="9">
        <f>+'SECURED LOANS'!BJ110+'RETAIL CREDIT'!CB49+'UNSECURED LOANS'!CC49+'CAR FINANCE'!BZ47</f>
        <v>1131597.46</v>
      </c>
      <c r="CC51" s="14">
        <f t="shared" si="42"/>
        <v>0.004860050718476171</v>
      </c>
      <c r="CD51" s="10">
        <f>+'SECURED LOANS'!BL110+'RETAIL CREDIT'!CD49+'UNSECURED LOANS'!CE49+'CAR FINANCE'!CB47</f>
        <v>511</v>
      </c>
      <c r="CE51" s="14">
        <f t="shared" si="43"/>
        <v>0.009314958620438222</v>
      </c>
      <c r="CF51" s="56"/>
      <c r="CG51" s="55"/>
      <c r="CH51" s="56"/>
      <c r="CI51" s="9">
        <f>+'SECURED LOANS'!BO110+'RETAIL CREDIT'!CI49+'UNSECURED LOANS'!CJ49+'CAR FINANCE'!CG47</f>
        <v>998717.37</v>
      </c>
      <c r="CJ51" s="14">
        <f t="shared" si="44"/>
        <v>0.0044681131387269675</v>
      </c>
      <c r="CK51" s="10">
        <f>+'SECURED LOANS'!BQ110+'RETAIL CREDIT'!CK49+'UNSECURED LOANS'!CL49+'CAR FINANCE'!CI47</f>
        <v>448</v>
      </c>
      <c r="CL51" s="14">
        <f t="shared" si="45"/>
        <v>0.009516526467839239</v>
      </c>
      <c r="CM51" s="56"/>
      <c r="CN51" s="55"/>
      <c r="CO51" s="9">
        <f>+'SECURED LOANS'!BT110+'RETAIL CREDIT'!CP49+'UNSECURED LOANS'!CQ49+'CAR FINANCE'!CN47</f>
        <v>881853.25</v>
      </c>
      <c r="CP51" s="14">
        <f t="shared" si="46"/>
        <v>0.0041426590788417005</v>
      </c>
      <c r="CQ51" s="10">
        <f>+'SECURED LOANS'!BV110+'RETAIL CREDIT'!CR49+'UNSECURED LOANS'!CS49+'CAR FINANCE'!CP47</f>
        <v>400</v>
      </c>
      <c r="CR51" s="14">
        <f t="shared" si="47"/>
        <v>0.009936160170901955</v>
      </c>
      <c r="CS51" s="34"/>
      <c r="CT51" s="34"/>
      <c r="CU51" s="100">
        <f>+'SECURED LOANS'!BY110+'RETAIL CREDIT'!CW49+'UNSECURED LOANS'!CX49+'CAR FINANCE'!CU47</f>
        <v>799208.4400000001</v>
      </c>
      <c r="CV51" s="14">
        <f t="shared" si="48"/>
        <v>0.0033215667312543468</v>
      </c>
      <c r="CW51" s="10">
        <f>+'SECURED LOANS'!CA110+'RETAIL CREDIT'!CY49+'UNSECURED LOANS'!CZ49+'CAR FINANCE'!CW47</f>
        <v>353</v>
      </c>
      <c r="CX51" s="14">
        <f t="shared" si="49"/>
        <v>0.008076879075620639</v>
      </c>
      <c r="CY51" s="34"/>
      <c r="CZ51" s="34"/>
    </row>
    <row r="52" spans="1:104" ht="12.75">
      <c r="A52" s="8" t="s">
        <v>105</v>
      </c>
      <c r="B52" s="8"/>
      <c r="C52" s="8"/>
      <c r="D52" s="9">
        <v>7632538.92</v>
      </c>
      <c r="E52" s="14">
        <v>0.0375</v>
      </c>
      <c r="F52" s="10">
        <v>3507</v>
      </c>
      <c r="G52" s="14">
        <v>0.0347</v>
      </c>
      <c r="H52" s="14"/>
      <c r="I52" s="9">
        <v>6595578.94</v>
      </c>
      <c r="J52" s="14">
        <v>0.0377</v>
      </c>
      <c r="K52" s="10">
        <v>2694</v>
      </c>
      <c r="L52" s="14">
        <v>0.0331</v>
      </c>
      <c r="M52" s="56"/>
      <c r="N52" s="55"/>
      <c r="O52" s="56"/>
      <c r="P52" s="9">
        <f>+'SECURED LOANS'!Q111+'RETAIL CREDIT'!Q50+'UNSECURED LOANS'!R50+'CAR FINANCE'!P48</f>
        <v>4017333.81</v>
      </c>
      <c r="Q52" s="14">
        <f t="shared" si="50"/>
        <v>0.01785538907634301</v>
      </c>
      <c r="R52" s="10">
        <f>+'SECURED LOANS'!S111+'RETAIL CREDIT'!S50+'UNSECURED LOANS'!T50+'CAR FINANCE'!R48</f>
        <v>1991</v>
      </c>
      <c r="S52" s="14">
        <f t="shared" si="51"/>
        <v>0.02217075153391312</v>
      </c>
      <c r="T52" s="56"/>
      <c r="U52" s="55"/>
      <c r="V52" s="56"/>
      <c r="W52" s="9">
        <f>+'SECURED LOANS'!V111+'RETAIL CREDIT'!X50+'UNSECURED LOANS'!Y50+'CAR FINANCE'!W48</f>
        <v>4279309.679999999</v>
      </c>
      <c r="X52" s="14">
        <f t="shared" si="52"/>
        <v>0.019019763586576564</v>
      </c>
      <c r="Y52" s="10">
        <f>+'SECURED LOANS'!X111+'RETAIL CREDIT'!Z50+'UNSECURED LOANS'!AA50+'CAR FINANCE'!Y48</f>
        <v>1972</v>
      </c>
      <c r="Z52" s="14">
        <f t="shared" si="28"/>
        <v>0.02365302499640167</v>
      </c>
      <c r="AA52" s="56"/>
      <c r="AB52" s="55"/>
      <c r="AC52" s="56"/>
      <c r="AD52" s="34"/>
      <c r="AE52" s="9">
        <f>+'SECURED LOANS'!AA111+'RETAIL CREDIT'!AE50+'UNSECURED LOANS'!AF50+'CAR FINANCE'!AD48</f>
        <v>3888330.369999999</v>
      </c>
      <c r="AF52" s="14">
        <f t="shared" si="29"/>
        <v>0.016733258439322714</v>
      </c>
      <c r="AG52" s="10">
        <f>+'SECURED LOANS'!AC111+'RETAIL CREDIT'!AG50+'UNSECURED LOANS'!AH50+'CAR FINANCE'!AF48</f>
        <v>1583</v>
      </c>
      <c r="AH52" s="14">
        <f t="shared" si="30"/>
        <v>0.020706344015696532</v>
      </c>
      <c r="AI52" s="56"/>
      <c r="AJ52" s="55"/>
      <c r="AK52" s="56"/>
      <c r="AL52" s="9">
        <f>+'SECURED LOANS'!AF111+'RETAIL CREDIT'!AL50+'UNSECURED LOANS'!AM50+'CAR FINANCE'!AK48</f>
        <v>3863724.85</v>
      </c>
      <c r="AM52" s="14">
        <f t="shared" si="31"/>
        <v>0.016907019920709462</v>
      </c>
      <c r="AN52" s="10">
        <f>+'SECURED LOANS'!AH111+'RETAIL CREDIT'!AN50+'UNSECURED LOANS'!AO50+'CAR FINANCE'!AM48</f>
        <v>1862</v>
      </c>
      <c r="AO52" s="14">
        <f t="shared" si="32"/>
        <v>0.02509467782584671</v>
      </c>
      <c r="AP52" s="56"/>
      <c r="AQ52" s="55"/>
      <c r="AR52" s="56"/>
      <c r="AS52" s="9">
        <f>+'SECURED LOANS'!AK111+'RETAIL CREDIT'!AS50+'UNSECURED LOANS'!AT50+'CAR FINANCE'!AR48</f>
        <v>3857857.86</v>
      </c>
      <c r="AT52" s="14">
        <f t="shared" si="33"/>
        <v>0.017073825244684145</v>
      </c>
      <c r="AU52" s="10">
        <f>+'SECURED LOANS'!AM111+'RETAIL CREDIT'!AU50+'UNSECURED LOANS'!AV50+'CAR FINANCE'!AT48</f>
        <v>1964</v>
      </c>
      <c r="AV52" s="14">
        <f t="shared" si="34"/>
        <v>0.02788228112267352</v>
      </c>
      <c r="AW52" s="56"/>
      <c r="AX52" s="55"/>
      <c r="AY52" s="56"/>
      <c r="AZ52" s="9">
        <f>+'SECURED LOANS'!AP111+'RETAIL CREDIT'!AZ50+'UNSECURED LOANS'!BA50+'CAR FINANCE'!AY48</f>
        <v>3524952.1399999997</v>
      </c>
      <c r="BA52" s="14">
        <f t="shared" si="53"/>
        <v>0.013343371903194744</v>
      </c>
      <c r="BB52" s="10">
        <f>+'SECURED LOANS'!AR111+'RETAIL CREDIT'!BB50+'UNSECURED LOANS'!BC50+'CAR FINANCE'!BA48</f>
        <v>1961</v>
      </c>
      <c r="BC52" s="14">
        <f t="shared" si="35"/>
        <v>0.026633527550285894</v>
      </c>
      <c r="BD52" s="56"/>
      <c r="BE52" s="55"/>
      <c r="BF52" s="56"/>
      <c r="BG52" s="9">
        <f>+'SECURED LOANS'!AU111+'RETAIL CREDIT'!BG50+'UNSECURED LOANS'!BH50+'CAR FINANCE'!BE48</f>
        <v>3839478.85</v>
      </c>
      <c r="BH52" s="14">
        <f t="shared" si="36"/>
        <v>0.016226647776230268</v>
      </c>
      <c r="BI52" s="10">
        <f>+'SECURED LOANS'!AW111+'RETAIL CREDIT'!BI50+'UNSECURED LOANS'!BJ50+'CAR FINANCE'!BG48</f>
        <v>1078</v>
      </c>
      <c r="BJ52" s="14">
        <f t="shared" si="37"/>
        <v>0.016703596386568945</v>
      </c>
      <c r="BK52" s="56"/>
      <c r="BL52" s="55"/>
      <c r="BM52" s="56"/>
      <c r="BN52" s="9">
        <f>+'SECURED LOANS'!AZ111+'RETAIL CREDIT'!BN50+'UNSECURED LOANS'!BO50+'CAR FINANCE'!BL48</f>
        <v>3256563.73</v>
      </c>
      <c r="BO52" s="14">
        <f t="shared" si="38"/>
        <v>0.014999655791696409</v>
      </c>
      <c r="BP52" s="10">
        <f>+'SECURED LOANS'!BB111+'RETAIL CREDIT'!BP50+'UNSECURED LOANS'!BQ50+'CAR FINANCE'!BN48</f>
        <v>949</v>
      </c>
      <c r="BQ52" s="14">
        <f t="shared" si="39"/>
        <v>0.016319581778473286</v>
      </c>
      <c r="BR52" s="56"/>
      <c r="BS52" s="55"/>
      <c r="BT52" s="56"/>
      <c r="BU52" s="9">
        <f>+'SECURED LOANS'!BE111+'RETAIL CREDIT'!BU50+'UNSECURED LOANS'!BV50+'CAR FINANCE'!BS48</f>
        <v>3380195.08</v>
      </c>
      <c r="BV52" s="14">
        <f t="shared" si="40"/>
        <v>0.014564453909226454</v>
      </c>
      <c r="BW52" s="10">
        <f>+'SECURED LOANS'!BG111+'RETAIL CREDIT'!BW50+'UNSECURED LOANS'!BX50+'CAR FINANCE'!BU48</f>
        <v>938</v>
      </c>
      <c r="BX52" s="14">
        <f t="shared" si="41"/>
        <v>0.016798896788867597</v>
      </c>
      <c r="BY52" s="56"/>
      <c r="BZ52" s="55"/>
      <c r="CA52" s="56"/>
      <c r="CB52" s="9">
        <f>+'SECURED LOANS'!BJ111+'RETAIL CREDIT'!CB50+'UNSECURED LOANS'!CC50+'CAR FINANCE'!BZ48</f>
        <v>3150074.38</v>
      </c>
      <c r="CC52" s="14">
        <f t="shared" si="42"/>
        <v>0.01352912302734612</v>
      </c>
      <c r="CD52" s="10">
        <f>+'SECURED LOANS'!BL111+'RETAIL CREDIT'!CD50+'UNSECURED LOANS'!CE50+'CAR FINANCE'!CB48</f>
        <v>847</v>
      </c>
      <c r="CE52" s="14">
        <f t="shared" si="43"/>
        <v>0.01543986291880856</v>
      </c>
      <c r="CF52" s="56"/>
      <c r="CG52" s="55"/>
      <c r="CH52" s="56"/>
      <c r="CI52" s="9">
        <f>+'SECURED LOANS'!BO111+'RETAIL CREDIT'!CI50+'UNSECURED LOANS'!CJ50+'CAR FINANCE'!CG48</f>
        <v>2848076.2</v>
      </c>
      <c r="CJ52" s="14">
        <f t="shared" si="44"/>
        <v>0.012741869793769157</v>
      </c>
      <c r="CK52" s="10">
        <f>+'SECURED LOANS'!BQ111+'RETAIL CREDIT'!CK50+'UNSECURED LOANS'!CL50+'CAR FINANCE'!CI48</f>
        <v>740</v>
      </c>
      <c r="CL52" s="14">
        <f t="shared" si="45"/>
        <v>0.015719262469198744</v>
      </c>
      <c r="CM52" s="56"/>
      <c r="CN52" s="55"/>
      <c r="CO52" s="9">
        <f>+'SECURED LOANS'!BT111+'RETAIL CREDIT'!CP50+'UNSECURED LOANS'!CQ50+'CAR FINANCE'!CN48</f>
        <v>2575172.0600000005</v>
      </c>
      <c r="CP52" s="14">
        <f t="shared" si="46"/>
        <v>0.012097318815730946</v>
      </c>
      <c r="CQ52" s="10">
        <f>+'SECURED LOANS'!BV111+'RETAIL CREDIT'!CR50+'UNSECURED LOANS'!CS50+'CAR FINANCE'!CP48</f>
        <v>646</v>
      </c>
      <c r="CR52" s="14">
        <f t="shared" si="47"/>
        <v>0.016046898676006657</v>
      </c>
      <c r="CS52" s="34"/>
      <c r="CT52" s="34"/>
      <c r="CU52" s="100">
        <f>+'SECURED LOANS'!BY111+'RETAIL CREDIT'!CW50+'UNSECURED LOANS'!CX50+'CAR FINANCE'!CU48</f>
        <v>2798456.16</v>
      </c>
      <c r="CV52" s="14">
        <f t="shared" si="48"/>
        <v>0.011630581478756393</v>
      </c>
      <c r="CW52" s="10">
        <f>+'SECURED LOANS'!CA111+'RETAIL CREDIT'!CY50+'UNSECURED LOANS'!CZ50+'CAR FINANCE'!CW48</f>
        <v>650</v>
      </c>
      <c r="CX52" s="14">
        <f t="shared" si="49"/>
        <v>0.014872440224230636</v>
      </c>
      <c r="CY52" s="34"/>
      <c r="CZ52" s="34"/>
    </row>
    <row r="53" spans="1:104" ht="12.75">
      <c r="A53" s="8"/>
      <c r="B53" s="8"/>
      <c r="C53" s="8"/>
      <c r="D53" s="9"/>
      <c r="E53" s="8"/>
      <c r="F53" s="10"/>
      <c r="G53" s="8"/>
      <c r="H53" s="8"/>
      <c r="I53" s="9"/>
      <c r="J53" s="8"/>
      <c r="K53" s="10"/>
      <c r="L53" s="8"/>
      <c r="M53" s="54"/>
      <c r="N53" s="55"/>
      <c r="O53" s="54"/>
      <c r="P53" s="9"/>
      <c r="Q53" s="8"/>
      <c r="R53" s="10"/>
      <c r="S53" s="8"/>
      <c r="T53" s="54"/>
      <c r="U53" s="55"/>
      <c r="V53" s="54"/>
      <c r="W53" s="9"/>
      <c r="X53" s="8"/>
      <c r="Y53" s="10"/>
      <c r="Z53" s="14"/>
      <c r="AA53" s="54"/>
      <c r="AB53" s="55"/>
      <c r="AC53" s="54"/>
      <c r="AD53" s="34"/>
      <c r="AE53" s="9"/>
      <c r="AF53" s="14"/>
      <c r="AG53" s="10"/>
      <c r="AH53" s="14"/>
      <c r="AI53" s="54"/>
      <c r="AJ53" s="55"/>
      <c r="AK53" s="54"/>
      <c r="AL53" s="9"/>
      <c r="AM53" s="14"/>
      <c r="AN53" s="10"/>
      <c r="AO53" s="14"/>
      <c r="AP53" s="54"/>
      <c r="AQ53" s="55"/>
      <c r="AR53" s="54"/>
      <c r="AS53" s="9"/>
      <c r="AT53" s="14"/>
      <c r="AU53" s="10"/>
      <c r="AV53" s="14"/>
      <c r="AW53" s="54"/>
      <c r="AX53" s="55"/>
      <c r="AY53" s="54"/>
      <c r="AZ53" s="9"/>
      <c r="BA53" s="14"/>
      <c r="BB53" s="10"/>
      <c r="BC53" s="14"/>
      <c r="BD53" s="54"/>
      <c r="BE53" s="55"/>
      <c r="BF53" s="54"/>
      <c r="BG53" s="9"/>
      <c r="BH53" s="14"/>
      <c r="BI53" s="10"/>
      <c r="BJ53" s="14"/>
      <c r="BK53" s="54"/>
      <c r="BL53" s="55"/>
      <c r="BM53" s="54"/>
      <c r="BN53" s="9"/>
      <c r="BO53" s="14"/>
      <c r="BP53" s="10"/>
      <c r="BQ53" s="14"/>
      <c r="BR53" s="54"/>
      <c r="BS53" s="55"/>
      <c r="BT53" s="54"/>
      <c r="BU53" s="9"/>
      <c r="BV53" s="14"/>
      <c r="BW53" s="10"/>
      <c r="BX53" s="14"/>
      <c r="BY53" s="54"/>
      <c r="BZ53" s="55"/>
      <c r="CA53" s="54"/>
      <c r="CB53" s="9"/>
      <c r="CC53" s="14"/>
      <c r="CD53" s="10"/>
      <c r="CE53" s="14"/>
      <c r="CF53" s="54"/>
      <c r="CG53" s="55"/>
      <c r="CH53" s="54"/>
      <c r="CI53" s="9"/>
      <c r="CJ53" s="14"/>
      <c r="CK53" s="10"/>
      <c r="CL53" s="14"/>
      <c r="CM53" s="54"/>
      <c r="CN53" s="55"/>
      <c r="CO53" s="9"/>
      <c r="CP53" s="14"/>
      <c r="CQ53" s="10"/>
      <c r="CR53" s="14"/>
      <c r="CS53" s="34"/>
      <c r="CT53" s="34"/>
      <c r="CU53" s="9"/>
      <c r="CV53" s="14"/>
      <c r="CW53" s="10"/>
      <c r="CX53" s="14"/>
      <c r="CY53" s="34"/>
      <c r="CZ53" s="34"/>
    </row>
    <row r="54" spans="1:104" ht="13.5" thickBot="1">
      <c r="A54" s="8"/>
      <c r="B54" s="12"/>
      <c r="C54" s="12"/>
      <c r="D54" s="21">
        <f>SUM(D40:D53)</f>
        <v>203798838.20000002</v>
      </c>
      <c r="E54" s="23"/>
      <c r="F54" s="22">
        <f>SUM(F40:F53)</f>
        <v>100970</v>
      </c>
      <c r="G54" s="23"/>
      <c r="H54" s="23"/>
      <c r="I54" s="21">
        <f>SUM(I40:I53)</f>
        <v>174725987.60000002</v>
      </c>
      <c r="J54" s="23"/>
      <c r="K54" s="22">
        <f>SUM(K40:K53)</f>
        <v>81454</v>
      </c>
      <c r="L54" s="23"/>
      <c r="M54" s="57"/>
      <c r="N54" s="31"/>
      <c r="O54" s="57"/>
      <c r="P54" s="21">
        <f>SUM(P40:P53)</f>
        <v>224992790.29</v>
      </c>
      <c r="Q54" s="23"/>
      <c r="R54" s="22">
        <f>SUM(R40:R53)</f>
        <v>89803</v>
      </c>
      <c r="S54" s="23"/>
      <c r="T54" s="57"/>
      <c r="U54" s="31"/>
      <c r="V54" s="57"/>
      <c r="W54" s="21">
        <f>SUM(W40:W53)</f>
        <v>235112271.32000002</v>
      </c>
      <c r="X54" s="23"/>
      <c r="Y54" s="22">
        <f>SUM(Y40:Y53)</f>
        <v>83372</v>
      </c>
      <c r="Z54" s="81"/>
      <c r="AA54" s="57"/>
      <c r="AB54" s="31"/>
      <c r="AC54" s="57"/>
      <c r="AD54" s="34"/>
      <c r="AE54" s="21">
        <f>SUM(AE40:AE53)</f>
        <v>232371380.86999995</v>
      </c>
      <c r="AF54" s="81"/>
      <c r="AG54" s="22">
        <f>SUM(AG40:AG53)</f>
        <v>76450</v>
      </c>
      <c r="AH54" s="81"/>
      <c r="AI54" s="57"/>
      <c r="AJ54" s="31"/>
      <c r="AK54" s="57"/>
      <c r="AL54" s="21">
        <f>SUM(AL40:AL53)</f>
        <v>228527846.30999997</v>
      </c>
      <c r="AM54" s="81"/>
      <c r="AN54" s="22">
        <f>SUM(AN40:AN53)</f>
        <v>74199</v>
      </c>
      <c r="AO54" s="81"/>
      <c r="AP54" s="57"/>
      <c r="AQ54" s="31"/>
      <c r="AR54" s="57"/>
      <c r="AS54" s="21">
        <f>SUM(AS40:AS53)</f>
        <v>225951584.06</v>
      </c>
      <c r="AT54" s="81"/>
      <c r="AU54" s="22">
        <f>SUM(AU40:AU53)</f>
        <v>70439</v>
      </c>
      <c r="AV54" s="81"/>
      <c r="AW54" s="57"/>
      <c r="AX54" s="31"/>
      <c r="AY54" s="57"/>
      <c r="AZ54" s="21">
        <f>SUM(AZ40:AZ53)</f>
        <v>264172516.92999998</v>
      </c>
      <c r="BA54" s="81"/>
      <c r="BB54" s="22">
        <f>SUM(BB40:BB53)</f>
        <v>73629</v>
      </c>
      <c r="BC54" s="81"/>
      <c r="BD54" s="57"/>
      <c r="BE54" s="31"/>
      <c r="BF54" s="57"/>
      <c r="BG54" s="21">
        <f>SUM(BG40:BG53)</f>
        <v>236615652.40999997</v>
      </c>
      <c r="BH54" s="81"/>
      <c r="BI54" s="22">
        <f>SUM(BI40:BI53)</f>
        <v>64537</v>
      </c>
      <c r="BJ54" s="81"/>
      <c r="BK54" s="57"/>
      <c r="BL54" s="31"/>
      <c r="BM54" s="57"/>
      <c r="BN54" s="21">
        <f>SUM(BN40:BN53)</f>
        <v>217109230.72</v>
      </c>
      <c r="BO54" s="81"/>
      <c r="BP54" s="22">
        <f>SUM(BP40:BP53)</f>
        <v>58151</v>
      </c>
      <c r="BQ54" s="81"/>
      <c r="BR54" s="57"/>
      <c r="BS54" s="31"/>
      <c r="BT54" s="57"/>
      <c r="BU54" s="21">
        <f>SUM(BU40:BU53)</f>
        <v>232085260.5300001</v>
      </c>
      <c r="BV54" s="81"/>
      <c r="BW54" s="22">
        <f>SUM(BW40:BW53)</f>
        <v>55837</v>
      </c>
      <c r="BX54" s="81"/>
      <c r="BY54" s="57"/>
      <c r="BZ54" s="31"/>
      <c r="CA54" s="57"/>
      <c r="CB54" s="21">
        <f>SUM(CB40:CB53)</f>
        <v>232836553.68000007</v>
      </c>
      <c r="CC54" s="81"/>
      <c r="CD54" s="22">
        <f>SUM(CD40:CD53)</f>
        <v>54858</v>
      </c>
      <c r="CE54" s="81"/>
      <c r="CF54" s="57"/>
      <c r="CG54" s="31"/>
      <c r="CH54" s="57"/>
      <c r="CI54" s="21">
        <f>SUM(CI40:CI53)</f>
        <v>223521056.65000004</v>
      </c>
      <c r="CJ54" s="81"/>
      <c r="CK54" s="22">
        <f>SUM(CK40:CK53)</f>
        <v>47076</v>
      </c>
      <c r="CL54" s="81"/>
      <c r="CM54" s="57"/>
      <c r="CN54" s="31"/>
      <c r="CO54" s="21">
        <f>SUM(CO40:CO53)</f>
        <v>212871306.37999997</v>
      </c>
      <c r="CP54" s="81"/>
      <c r="CQ54" s="22">
        <f>SUM(CQ40:CQ53)</f>
        <v>40257</v>
      </c>
      <c r="CR54" s="81"/>
      <c r="CS54" s="34"/>
      <c r="CT54" s="34"/>
      <c r="CU54" s="21">
        <f>SUM(CU40:CU53)</f>
        <v>240611887.29999995</v>
      </c>
      <c r="CV54" s="81"/>
      <c r="CW54" s="22">
        <f>SUM(CW40:CW53)</f>
        <v>43705</v>
      </c>
      <c r="CX54" s="81"/>
      <c r="CY54" s="34"/>
      <c r="CZ54" s="34"/>
    </row>
    <row r="55" spans="1:104" ht="13.5" thickTop="1">
      <c r="A55" s="19"/>
      <c r="B55" s="8"/>
      <c r="C55" s="8"/>
      <c r="D55" s="9"/>
      <c r="E55" s="8"/>
      <c r="F55" s="10"/>
      <c r="G55" s="8"/>
      <c r="H55" s="8"/>
      <c r="I55" s="9"/>
      <c r="J55" s="8"/>
      <c r="K55" s="10"/>
      <c r="L55" s="8"/>
      <c r="M55" s="8"/>
      <c r="N55" s="10"/>
      <c r="O55" s="8"/>
      <c r="P55" s="9"/>
      <c r="Q55" s="8"/>
      <c r="R55" s="10"/>
      <c r="S55" s="8"/>
      <c r="T55" s="8"/>
      <c r="U55" s="10"/>
      <c r="V55" s="8"/>
      <c r="W55" s="9"/>
      <c r="X55" s="8"/>
      <c r="Y55" s="10"/>
      <c r="Z55" s="14"/>
      <c r="AA55" s="8"/>
      <c r="AB55" s="10"/>
      <c r="AC55" s="8"/>
      <c r="AD55" s="34"/>
      <c r="AE55" s="9"/>
      <c r="AF55" s="14"/>
      <c r="AG55" s="10"/>
      <c r="AH55" s="14"/>
      <c r="AI55" s="8"/>
      <c r="AJ55" s="10"/>
      <c r="AK55" s="8"/>
      <c r="AL55" s="9"/>
      <c r="AM55" s="14"/>
      <c r="AN55" s="10"/>
      <c r="AO55" s="14"/>
      <c r="AP55" s="8"/>
      <c r="AQ55" s="10"/>
      <c r="AR55" s="8"/>
      <c r="AS55" s="9"/>
      <c r="AT55" s="14"/>
      <c r="AU55" s="10"/>
      <c r="AV55" s="14"/>
      <c r="AW55" s="8"/>
      <c r="AX55" s="10"/>
      <c r="AY55" s="8"/>
      <c r="AZ55" s="9"/>
      <c r="BA55" s="14"/>
      <c r="BB55" s="10"/>
      <c r="BC55" s="14"/>
      <c r="BD55" s="8"/>
      <c r="BE55" s="10"/>
      <c r="BF55" s="8"/>
      <c r="BG55" s="9"/>
      <c r="BH55" s="14"/>
      <c r="BI55" s="10"/>
      <c r="BJ55" s="14"/>
      <c r="BK55" s="8"/>
      <c r="BL55" s="10"/>
      <c r="BM55" s="8"/>
      <c r="BN55" s="9"/>
      <c r="BO55" s="14"/>
      <c r="BP55" s="10"/>
      <c r="BQ55" s="14"/>
      <c r="BR55" s="8"/>
      <c r="BS55" s="10"/>
      <c r="BT55" s="8"/>
      <c r="BU55" s="9"/>
      <c r="BV55" s="14"/>
      <c r="BW55" s="10"/>
      <c r="BX55" s="14"/>
      <c r="BY55" s="8"/>
      <c r="BZ55" s="10"/>
      <c r="CA55" s="8"/>
      <c r="CB55" s="9"/>
      <c r="CC55" s="14"/>
      <c r="CD55" s="10"/>
      <c r="CE55" s="14"/>
      <c r="CF55" s="8"/>
      <c r="CG55" s="10"/>
      <c r="CH55" s="8"/>
      <c r="CI55" s="9"/>
      <c r="CJ55" s="14"/>
      <c r="CK55" s="10"/>
      <c r="CL55" s="14"/>
      <c r="CM55" s="8"/>
      <c r="CN55" s="10"/>
      <c r="CO55" s="9"/>
      <c r="CP55" s="14"/>
      <c r="CQ55" s="10"/>
      <c r="CR55" s="14"/>
      <c r="CS55" s="34"/>
      <c r="CT55" s="34"/>
      <c r="CU55" s="9"/>
      <c r="CV55" s="14"/>
      <c r="CW55" s="10"/>
      <c r="CX55" s="14"/>
      <c r="CY55" s="34"/>
      <c r="CZ55" s="34"/>
    </row>
    <row r="56" spans="1:104" ht="12.75">
      <c r="A56" s="19"/>
      <c r="B56" s="8"/>
      <c r="C56" s="8"/>
      <c r="D56" s="9"/>
      <c r="E56" s="8"/>
      <c r="F56" s="10"/>
      <c r="G56" s="8"/>
      <c r="H56" s="8"/>
      <c r="I56" s="19"/>
      <c r="J56" s="8"/>
      <c r="K56" s="8"/>
      <c r="L56" s="9"/>
      <c r="M56" s="8"/>
      <c r="N56" s="10"/>
      <c r="O56" s="8"/>
      <c r="P56" s="19"/>
      <c r="Q56" s="8"/>
      <c r="R56" s="8"/>
      <c r="S56" s="9"/>
      <c r="T56" s="8"/>
      <c r="U56" s="10"/>
      <c r="V56" s="8"/>
      <c r="W56" s="19"/>
      <c r="X56" s="8"/>
      <c r="Y56" s="8"/>
      <c r="Z56" s="14"/>
      <c r="AA56" s="8"/>
      <c r="AB56" s="10"/>
      <c r="AC56" s="8"/>
      <c r="AD56" s="34"/>
      <c r="AE56" s="19"/>
      <c r="AF56" s="14"/>
      <c r="AG56" s="8"/>
      <c r="AH56" s="14"/>
      <c r="AI56" s="8"/>
      <c r="AJ56" s="10"/>
      <c r="AK56" s="8"/>
      <c r="AL56" s="19"/>
      <c r="AM56" s="14"/>
      <c r="AN56" s="8"/>
      <c r="AO56" s="14"/>
      <c r="AP56" s="8"/>
      <c r="AQ56" s="10"/>
      <c r="AR56" s="8"/>
      <c r="AS56" s="19"/>
      <c r="AT56" s="14"/>
      <c r="AU56" s="8"/>
      <c r="AV56" s="14"/>
      <c r="AW56" s="8"/>
      <c r="AX56" s="10"/>
      <c r="AY56" s="8"/>
      <c r="AZ56" s="19"/>
      <c r="BA56" s="14"/>
      <c r="BB56" s="8"/>
      <c r="BC56" s="14"/>
      <c r="BD56" s="8"/>
      <c r="BE56" s="10"/>
      <c r="BF56" s="8"/>
      <c r="BG56" s="19"/>
      <c r="BH56" s="14"/>
      <c r="BI56" s="91"/>
      <c r="BJ56" s="14"/>
      <c r="BK56" s="8"/>
      <c r="BL56" s="10"/>
      <c r="BM56" s="8"/>
      <c r="BN56" s="19"/>
      <c r="BO56" s="14"/>
      <c r="BP56" s="91"/>
      <c r="BQ56" s="14"/>
      <c r="BR56" s="8"/>
      <c r="BS56" s="10"/>
      <c r="BT56" s="8"/>
      <c r="BU56" s="19"/>
      <c r="BV56" s="14"/>
      <c r="BW56" s="91"/>
      <c r="BX56" s="14"/>
      <c r="BY56" s="8"/>
      <c r="BZ56" s="10"/>
      <c r="CA56" s="8"/>
      <c r="CB56" s="19"/>
      <c r="CC56" s="14"/>
      <c r="CD56" s="91"/>
      <c r="CE56" s="14"/>
      <c r="CF56" s="8"/>
      <c r="CG56" s="10"/>
      <c r="CH56" s="8"/>
      <c r="CI56" s="19"/>
      <c r="CJ56" s="14"/>
      <c r="CK56" s="91"/>
      <c r="CL56" s="14"/>
      <c r="CM56" s="8"/>
      <c r="CN56" s="10"/>
      <c r="CO56" s="98"/>
      <c r="CP56" s="14"/>
      <c r="CQ56" s="91"/>
      <c r="CR56" s="14"/>
      <c r="CS56" s="34"/>
      <c r="CT56" s="34"/>
      <c r="CU56" s="98"/>
      <c r="CV56" s="14"/>
      <c r="CW56" s="91"/>
      <c r="CX56" s="14"/>
      <c r="CY56" s="34"/>
      <c r="CZ56" s="34"/>
    </row>
    <row r="57" spans="1:104" ht="12.75">
      <c r="A57" s="19" t="s">
        <v>127</v>
      </c>
      <c r="B57" s="8"/>
      <c r="C57" s="8"/>
      <c r="D57" s="9"/>
      <c r="E57" s="8"/>
      <c r="F57" s="10"/>
      <c r="G57" s="8"/>
      <c r="H57" s="8"/>
      <c r="I57" s="19" t="s">
        <v>127</v>
      </c>
      <c r="J57" s="8"/>
      <c r="K57" s="8"/>
      <c r="L57" s="9"/>
      <c r="M57" s="8"/>
      <c r="N57" s="10"/>
      <c r="O57" s="8"/>
      <c r="P57" s="19" t="s">
        <v>127</v>
      </c>
      <c r="Q57" s="8"/>
      <c r="R57" s="8"/>
      <c r="S57" s="9"/>
      <c r="T57" s="8"/>
      <c r="U57" s="10"/>
      <c r="V57" s="8"/>
      <c r="W57" s="19" t="s">
        <v>127</v>
      </c>
      <c r="X57" s="8"/>
      <c r="Y57" s="8"/>
      <c r="Z57" s="14"/>
      <c r="AA57" s="8"/>
      <c r="AB57" s="10"/>
      <c r="AC57" s="8"/>
      <c r="AD57" s="34"/>
      <c r="AE57" s="19" t="s">
        <v>127</v>
      </c>
      <c r="AF57" s="14"/>
      <c r="AG57" s="8"/>
      <c r="AH57" s="14"/>
      <c r="AI57" s="8"/>
      <c r="AJ57" s="10"/>
      <c r="AK57" s="8"/>
      <c r="AL57" s="19" t="s">
        <v>127</v>
      </c>
      <c r="AM57" s="14"/>
      <c r="AN57" s="8"/>
      <c r="AO57" s="14"/>
      <c r="AP57" s="8"/>
      <c r="AQ57" s="10"/>
      <c r="AR57" s="8"/>
      <c r="AS57" s="19" t="s">
        <v>127</v>
      </c>
      <c r="AT57" s="14"/>
      <c r="AU57" s="8"/>
      <c r="AV57" s="14"/>
      <c r="AW57" s="8"/>
      <c r="AX57" s="10"/>
      <c r="AY57" s="8"/>
      <c r="AZ57" s="19" t="s">
        <v>127</v>
      </c>
      <c r="BA57" s="14"/>
      <c r="BB57" s="8"/>
      <c r="BC57" s="14"/>
      <c r="BD57" s="8"/>
      <c r="BE57" s="10"/>
      <c r="BF57" s="8"/>
      <c r="BG57" s="19" t="s">
        <v>127</v>
      </c>
      <c r="BH57" s="14"/>
      <c r="BI57" s="91"/>
      <c r="BJ57" s="14"/>
      <c r="BK57" s="8"/>
      <c r="BL57" s="10"/>
      <c r="BM57" s="8"/>
      <c r="BN57" s="19" t="s">
        <v>127</v>
      </c>
      <c r="BO57" s="14"/>
      <c r="BP57" s="91"/>
      <c r="BQ57" s="14"/>
      <c r="BR57" s="8"/>
      <c r="BS57" s="10"/>
      <c r="BT57" s="8"/>
      <c r="BU57" s="19" t="s">
        <v>127</v>
      </c>
      <c r="BV57" s="14"/>
      <c r="BW57" s="91"/>
      <c r="BX57" s="14"/>
      <c r="BY57" s="8"/>
      <c r="BZ57" s="10"/>
      <c r="CA57" s="8"/>
      <c r="CB57" s="19" t="s">
        <v>127</v>
      </c>
      <c r="CC57" s="14"/>
      <c r="CD57" s="91"/>
      <c r="CE57" s="14"/>
      <c r="CF57" s="8"/>
      <c r="CG57" s="10"/>
      <c r="CH57" s="8"/>
      <c r="CI57" s="19" t="s">
        <v>127</v>
      </c>
      <c r="CJ57" s="14"/>
      <c r="CK57" s="91"/>
      <c r="CL57" s="14"/>
      <c r="CM57" s="8"/>
      <c r="CN57" s="10"/>
      <c r="CO57" s="98" t="s">
        <v>179</v>
      </c>
      <c r="CP57" s="14"/>
      <c r="CQ57" s="91"/>
      <c r="CR57" s="14"/>
      <c r="CS57" s="34"/>
      <c r="CT57" s="34"/>
      <c r="CU57" s="98" t="s">
        <v>179</v>
      </c>
      <c r="CV57" s="14"/>
      <c r="CW57" s="91" t="s">
        <v>179</v>
      </c>
      <c r="CX57" s="14"/>
      <c r="CY57" s="34"/>
      <c r="CZ57" s="34"/>
    </row>
    <row r="58" spans="1:104" ht="12.75">
      <c r="A58" s="19"/>
      <c r="B58" s="8"/>
      <c r="C58" s="8"/>
      <c r="D58" s="9"/>
      <c r="E58" s="8"/>
      <c r="F58" s="10"/>
      <c r="G58" s="8"/>
      <c r="H58" s="8"/>
      <c r="I58" s="19"/>
      <c r="J58" s="8"/>
      <c r="K58" s="8"/>
      <c r="L58" s="9"/>
      <c r="M58" s="8"/>
      <c r="N58" s="10"/>
      <c r="O58" s="8"/>
      <c r="P58" s="19"/>
      <c r="Q58" s="8"/>
      <c r="R58" s="8"/>
      <c r="S58" s="9"/>
      <c r="T58" s="8"/>
      <c r="U58" s="10"/>
      <c r="V58" s="8"/>
      <c r="W58" s="19"/>
      <c r="X58" s="8"/>
      <c r="Y58" s="8"/>
      <c r="Z58" s="14"/>
      <c r="AA58" s="8"/>
      <c r="AB58" s="10"/>
      <c r="AC58" s="8"/>
      <c r="AD58" s="34"/>
      <c r="AE58" s="19"/>
      <c r="AF58" s="14"/>
      <c r="AG58" s="8"/>
      <c r="AH58" s="14"/>
      <c r="AI58" s="8"/>
      <c r="AJ58" s="10"/>
      <c r="AK58" s="8"/>
      <c r="AL58" s="19"/>
      <c r="AM58" s="14"/>
      <c r="AN58" s="8"/>
      <c r="AO58" s="14"/>
      <c r="AP58" s="8"/>
      <c r="AQ58" s="10"/>
      <c r="AR58" s="8"/>
      <c r="AS58" s="19"/>
      <c r="AT58" s="14"/>
      <c r="AU58" s="8"/>
      <c r="AV58" s="14"/>
      <c r="AW58" s="8"/>
      <c r="AX58" s="10"/>
      <c r="AY58" s="8"/>
      <c r="AZ58" s="19"/>
      <c r="BA58" s="14"/>
      <c r="BB58" s="8"/>
      <c r="BC58" s="14"/>
      <c r="BD58" s="8"/>
      <c r="BE58" s="10"/>
      <c r="BF58" s="8"/>
      <c r="BG58" s="19"/>
      <c r="BH58" s="14"/>
      <c r="BI58" s="91"/>
      <c r="BJ58" s="14"/>
      <c r="BK58" s="8"/>
      <c r="BL58" s="10"/>
      <c r="BM58" s="8"/>
      <c r="BN58" s="19"/>
      <c r="BO58" s="14"/>
      <c r="BP58" s="91"/>
      <c r="BQ58" s="14"/>
      <c r="BR58" s="8"/>
      <c r="BS58" s="10"/>
      <c r="BT58" s="8"/>
      <c r="BU58" s="19"/>
      <c r="BV58" s="14"/>
      <c r="BW58" s="91"/>
      <c r="BX58" s="14"/>
      <c r="BY58" s="8"/>
      <c r="BZ58" s="10"/>
      <c r="CA58" s="8"/>
      <c r="CB58" s="19"/>
      <c r="CC58" s="14"/>
      <c r="CD58" s="91"/>
      <c r="CE58" s="14"/>
      <c r="CF58" s="8"/>
      <c r="CG58" s="10"/>
      <c r="CH58" s="8"/>
      <c r="CI58" s="19"/>
      <c r="CJ58" s="14"/>
      <c r="CK58" s="91"/>
      <c r="CL58" s="14"/>
      <c r="CM58" s="8"/>
      <c r="CN58" s="10"/>
      <c r="CO58" s="98"/>
      <c r="CP58" s="14"/>
      <c r="CQ58" s="91"/>
      <c r="CR58" s="14"/>
      <c r="CS58" s="34"/>
      <c r="CT58" s="34"/>
      <c r="CU58" s="98"/>
      <c r="CV58" s="14"/>
      <c r="CW58" s="91"/>
      <c r="CX58" s="14"/>
      <c r="CY58" s="34"/>
      <c r="CZ58" s="34"/>
    </row>
    <row r="59" spans="1:104" s="29" customFormat="1" ht="12.75">
      <c r="A59" s="25"/>
      <c r="B59" s="26"/>
      <c r="C59" s="26"/>
      <c r="D59" s="27" t="s">
        <v>99</v>
      </c>
      <c r="E59" s="26" t="s">
        <v>100</v>
      </c>
      <c r="F59" s="28" t="s">
        <v>101</v>
      </c>
      <c r="G59" s="26" t="s">
        <v>100</v>
      </c>
      <c r="H59" s="26"/>
      <c r="I59" s="27" t="s">
        <v>99</v>
      </c>
      <c r="J59" s="26" t="s">
        <v>100</v>
      </c>
      <c r="K59" s="28" t="s">
        <v>101</v>
      </c>
      <c r="L59" s="26" t="s">
        <v>100</v>
      </c>
      <c r="M59" s="53"/>
      <c r="N59" s="31"/>
      <c r="O59" s="53"/>
      <c r="P59" s="27" t="s">
        <v>99</v>
      </c>
      <c r="Q59" s="26" t="s">
        <v>100</v>
      </c>
      <c r="R59" s="28" t="s">
        <v>101</v>
      </c>
      <c r="S59" s="26" t="s">
        <v>100</v>
      </c>
      <c r="T59" s="53"/>
      <c r="U59" s="31"/>
      <c r="V59" s="53"/>
      <c r="W59" s="27" t="s">
        <v>99</v>
      </c>
      <c r="X59" s="26" t="s">
        <v>100</v>
      </c>
      <c r="Y59" s="28" t="s">
        <v>101</v>
      </c>
      <c r="Z59" s="82" t="e">
        <f>+Z38</f>
        <v>#REF!</v>
      </c>
      <c r="AA59" s="53"/>
      <c r="AB59" s="31"/>
      <c r="AC59" s="53"/>
      <c r="AD59" s="25"/>
      <c r="AE59" s="27" t="s">
        <v>99</v>
      </c>
      <c r="AF59" s="82" t="s">
        <v>100</v>
      </c>
      <c r="AG59" s="28" t="s">
        <v>101</v>
      </c>
      <c r="AH59" s="82" t="str">
        <f>+AH38</f>
        <v>PER CENT</v>
      </c>
      <c r="AI59" s="53"/>
      <c r="AJ59" s="31"/>
      <c r="AK59" s="53"/>
      <c r="AL59" s="27" t="s">
        <v>99</v>
      </c>
      <c r="AM59" s="82" t="s">
        <v>100</v>
      </c>
      <c r="AN59" s="28" t="s">
        <v>101</v>
      </c>
      <c r="AO59" s="82" t="s">
        <v>152</v>
      </c>
      <c r="AP59" s="53"/>
      <c r="AQ59" s="31"/>
      <c r="AR59" s="53"/>
      <c r="AS59" s="27" t="s">
        <v>99</v>
      </c>
      <c r="AT59" s="82" t="s">
        <v>100</v>
      </c>
      <c r="AU59" s="28" t="s">
        <v>101</v>
      </c>
      <c r="AV59" s="82" t="s">
        <v>165</v>
      </c>
      <c r="AW59" s="53"/>
      <c r="AX59" s="31"/>
      <c r="AY59" s="53"/>
      <c r="AZ59" s="89" t="s">
        <v>99</v>
      </c>
      <c r="BA59" s="44" t="s">
        <v>100</v>
      </c>
      <c r="BB59" s="88" t="s">
        <v>101</v>
      </c>
      <c r="BC59" s="94" t="s">
        <v>100</v>
      </c>
      <c r="BD59" s="53"/>
      <c r="BE59" s="31"/>
      <c r="BF59" s="53"/>
      <c r="BG59" s="89" t="s">
        <v>99</v>
      </c>
      <c r="BH59" s="94" t="s">
        <v>100</v>
      </c>
      <c r="BI59" s="88" t="s">
        <v>99</v>
      </c>
      <c r="BJ59" s="94" t="s">
        <v>100</v>
      </c>
      <c r="BK59" s="53"/>
      <c r="BL59" s="31"/>
      <c r="BM59" s="53"/>
      <c r="BN59" s="89" t="s">
        <v>99</v>
      </c>
      <c r="BO59" s="94" t="s">
        <v>100</v>
      </c>
      <c r="BP59" s="88" t="s">
        <v>99</v>
      </c>
      <c r="BQ59" s="94" t="s">
        <v>100</v>
      </c>
      <c r="BR59" s="53"/>
      <c r="BS59" s="31"/>
      <c r="BT59" s="53"/>
      <c r="BU59" s="89" t="s">
        <v>99</v>
      </c>
      <c r="BV59" s="94" t="s">
        <v>100</v>
      </c>
      <c r="BW59" s="88" t="s">
        <v>99</v>
      </c>
      <c r="BX59" s="94" t="s">
        <v>100</v>
      </c>
      <c r="BY59" s="53"/>
      <c r="BZ59" s="31"/>
      <c r="CA59" s="53"/>
      <c r="CB59" s="89" t="s">
        <v>99</v>
      </c>
      <c r="CC59" s="94" t="s">
        <v>100</v>
      </c>
      <c r="CD59" s="88" t="s">
        <v>99</v>
      </c>
      <c r="CE59" s="94" t="s">
        <v>100</v>
      </c>
      <c r="CF59" s="53"/>
      <c r="CG59" s="31"/>
      <c r="CH59" s="53"/>
      <c r="CI59" s="89" t="s">
        <v>99</v>
      </c>
      <c r="CJ59" s="94" t="s">
        <v>100</v>
      </c>
      <c r="CK59" s="88" t="s">
        <v>99</v>
      </c>
      <c r="CL59" s="94" t="s">
        <v>100</v>
      </c>
      <c r="CM59" s="53"/>
      <c r="CN59" s="31"/>
      <c r="CO59" s="89" t="s">
        <v>99</v>
      </c>
      <c r="CP59" s="94" t="s">
        <v>100</v>
      </c>
      <c r="CQ59" s="88" t="s">
        <v>99</v>
      </c>
      <c r="CR59" s="94" t="s">
        <v>100</v>
      </c>
      <c r="CS59" s="25"/>
      <c r="CT59" s="25"/>
      <c r="CU59" s="89" t="s">
        <v>99</v>
      </c>
      <c r="CV59" s="94" t="s">
        <v>100</v>
      </c>
      <c r="CW59" s="88" t="s">
        <v>99</v>
      </c>
      <c r="CX59" s="94" t="s">
        <v>100</v>
      </c>
      <c r="CY59" s="25"/>
      <c r="CZ59" s="25"/>
    </row>
    <row r="60" spans="1:104" ht="12.75">
      <c r="A60" s="12"/>
      <c r="B60" s="8"/>
      <c r="C60" s="8"/>
      <c r="D60" s="9"/>
      <c r="E60" s="8"/>
      <c r="F60" s="10"/>
      <c r="G60" s="8"/>
      <c r="H60" s="8"/>
      <c r="I60" s="9"/>
      <c r="J60" s="8"/>
      <c r="K60" s="10"/>
      <c r="L60" s="8"/>
      <c r="M60" s="54"/>
      <c r="N60" s="55"/>
      <c r="O60" s="54"/>
      <c r="P60" s="9"/>
      <c r="Q60" s="8"/>
      <c r="R60" s="10"/>
      <c r="S60" s="8"/>
      <c r="T60" s="54"/>
      <c r="U60" s="55"/>
      <c r="V60" s="54"/>
      <c r="W60" s="9"/>
      <c r="X60" s="8"/>
      <c r="Y60" s="10"/>
      <c r="Z60" s="14"/>
      <c r="AA60" s="54"/>
      <c r="AB60" s="55"/>
      <c r="AC60" s="54"/>
      <c r="AD60" s="34"/>
      <c r="AE60" s="9"/>
      <c r="AF60" s="14"/>
      <c r="AG60" s="10"/>
      <c r="AH60" s="14"/>
      <c r="AI60" s="54"/>
      <c r="AJ60" s="55"/>
      <c r="AK60" s="54"/>
      <c r="AL60" s="9"/>
      <c r="AM60" s="14"/>
      <c r="AN60" s="10"/>
      <c r="AO60" s="14"/>
      <c r="AP60" s="54"/>
      <c r="AQ60" s="55"/>
      <c r="AR60" s="54"/>
      <c r="AS60" s="9"/>
      <c r="AT60" s="14"/>
      <c r="AU60" s="10"/>
      <c r="AV60" s="14"/>
      <c r="AW60" s="54"/>
      <c r="AX60" s="55"/>
      <c r="AY60" s="54"/>
      <c r="AZ60" s="9"/>
      <c r="BA60" s="14"/>
      <c r="BB60" s="10"/>
      <c r="BC60" s="14"/>
      <c r="BD60" s="54"/>
      <c r="BE60" s="55"/>
      <c r="BF60" s="54"/>
      <c r="BG60" s="9"/>
      <c r="BH60" s="14"/>
      <c r="BI60" s="10"/>
      <c r="BJ60" s="14"/>
      <c r="BK60" s="54"/>
      <c r="BL60" s="55"/>
      <c r="BM60" s="54"/>
      <c r="BN60" s="9"/>
      <c r="BO60" s="14"/>
      <c r="BP60" s="10"/>
      <c r="BQ60" s="14"/>
      <c r="BR60" s="54"/>
      <c r="BS60" s="55"/>
      <c r="BT60" s="54"/>
      <c r="BU60" s="9"/>
      <c r="BV60" s="14"/>
      <c r="BW60" s="10"/>
      <c r="BX60" s="14"/>
      <c r="BY60" s="54"/>
      <c r="BZ60" s="55"/>
      <c r="CA60" s="54"/>
      <c r="CB60" s="9"/>
      <c r="CC60" s="14"/>
      <c r="CD60" s="10"/>
      <c r="CE60" s="14"/>
      <c r="CF60" s="54"/>
      <c r="CG60" s="55"/>
      <c r="CH60" s="54"/>
      <c r="CI60" s="9"/>
      <c r="CJ60" s="14"/>
      <c r="CK60" s="10"/>
      <c r="CL60" s="14"/>
      <c r="CM60" s="54"/>
      <c r="CN60" s="55"/>
      <c r="CO60" s="9"/>
      <c r="CP60" s="14"/>
      <c r="CQ60" s="10"/>
      <c r="CR60" s="14"/>
      <c r="CS60" s="34"/>
      <c r="CT60" s="34"/>
      <c r="CU60" s="9"/>
      <c r="CV60" s="14"/>
      <c r="CW60" s="10"/>
      <c r="CX60" s="14"/>
      <c r="CY60" s="34"/>
      <c r="CZ60" s="34"/>
    </row>
    <row r="61" spans="1:104" ht="12.75">
      <c r="A61" s="8" t="s">
        <v>17</v>
      </c>
      <c r="B61" s="8"/>
      <c r="C61" s="8"/>
      <c r="D61" s="9">
        <f>+'SECURED LOANS'!D40+'RETAIL CREDIT'!D59+'UNSECURED LOANS'!D59+'CAR FINANCE'!D59</f>
        <v>50674756.64</v>
      </c>
      <c r="E61" s="14">
        <f>+D61/$D$76</f>
        <v>0.24865086124911964</v>
      </c>
      <c r="F61" s="10">
        <f>+'SECURED LOANS'!F40+'RETAIL CREDIT'!F59+'UNSECURED LOANS'!F59+'CAR FINANCE'!F59</f>
        <v>78896</v>
      </c>
      <c r="G61" s="14">
        <f>+F61/$F$76</f>
        <v>0.7813806081014163</v>
      </c>
      <c r="H61" s="14"/>
      <c r="I61" s="9">
        <v>38068482.06</v>
      </c>
      <c r="J61" s="14">
        <v>0.2179</v>
      </c>
      <c r="K61" s="10">
        <v>62304</v>
      </c>
      <c r="L61" s="14">
        <v>0.7649</v>
      </c>
      <c r="M61" s="56"/>
      <c r="N61" s="55"/>
      <c r="O61" s="56"/>
      <c r="P61" s="9">
        <f>+'SECURED LOANS'!Q40+'RETAIL CREDIT'!Q59+'UNSECURED LOANS'!R59+'CAR FINANCE'!P59</f>
        <v>42060426.36000026</v>
      </c>
      <c r="Q61" s="14">
        <f>+P61/$P$76</f>
        <v>0.18694121845321024</v>
      </c>
      <c r="R61" s="10">
        <f>+'SECURED LOANS'!S40+'RETAIL CREDIT'!S59+'UNSECURED LOANS'!T59+'CAR FINANCE'!R59</f>
        <v>65907</v>
      </c>
      <c r="S61" s="14">
        <f>+R61/$R$76</f>
        <v>0.7339064396512366</v>
      </c>
      <c r="T61" s="56"/>
      <c r="U61" s="55"/>
      <c r="V61" s="56"/>
      <c r="W61" s="9">
        <f>+'SECURED LOANS'!V40+'RETAIL CREDIT'!X59+'UNSECURED LOANS'!Y59+'CAR FINANCE'!W59</f>
        <v>38170686.45000015</v>
      </c>
      <c r="X61" s="14">
        <f>+W61/$P$76</f>
        <v>0.1696529315486099</v>
      </c>
      <c r="Y61" s="10">
        <f>+'SECURED LOANS'!X40+'RETAIL CREDIT'!Z59+'UNSECURED LOANS'!AA59+'CAR FINANCE'!Y59</f>
        <v>58289</v>
      </c>
      <c r="Z61" s="14">
        <f aca="true" t="shared" si="54" ref="Z61:Z74">+Y61/$Y$76</f>
        <v>0.69914359737082</v>
      </c>
      <c r="AA61" s="56"/>
      <c r="AB61" s="55"/>
      <c r="AC61" s="56"/>
      <c r="AD61" s="34"/>
      <c r="AE61" s="9">
        <f>+'SECURED LOANS'!AA40+'RETAIL CREDIT'!AE59+'UNSECURED LOANS'!AF59+'CAR FINANCE'!AD59</f>
        <v>33198592.45000005</v>
      </c>
      <c r="AF61" s="14">
        <f aca="true" t="shared" si="55" ref="AF61:AF74">+AE61/$AE$76</f>
        <v>0.14286867997988523</v>
      </c>
      <c r="AG61" s="10">
        <f>+'SECURED LOANS'!AC40+'RETAIL CREDIT'!AG59+'UNSECURED LOANS'!AH59+'CAR FINANCE'!AF59</f>
        <v>51539</v>
      </c>
      <c r="AH61" s="14">
        <f aca="true" t="shared" si="56" ref="AH61:AH74">+AG61/$AG$76</f>
        <v>0.6741530412034009</v>
      </c>
      <c r="AI61" s="56"/>
      <c r="AJ61" s="55"/>
      <c r="AK61" s="56"/>
      <c r="AL61" s="9">
        <f>+'SECURED LOANS'!AF40+'RETAIL CREDIT'!AL59+'UNSECURED LOANS'!AM59+'CAR FINANCE'!AK59</f>
        <v>31330034.69000051</v>
      </c>
      <c r="AM61" s="14">
        <f aca="true" t="shared" si="57" ref="AM61:AM74">+AL61/$AL$76</f>
        <v>0.13709504200858294</v>
      </c>
      <c r="AN61" s="10">
        <f>+'SECURED LOANS'!AH40+'RETAIL CREDIT'!AN59+'UNSECURED LOANS'!AO59+'CAR FINANCE'!AM59</f>
        <v>49042</v>
      </c>
      <c r="AO61" s="14">
        <f aca="true" t="shared" si="58" ref="AO61:AO74">+AN61/$AN$76</f>
        <v>0.6609523039394062</v>
      </c>
      <c r="AP61" s="56"/>
      <c r="AQ61" s="55"/>
      <c r="AR61" s="56"/>
      <c r="AS61" s="9">
        <f>+'SECURED LOANS'!AK40+'RETAIL CREDIT'!AS59+'UNSECURED LOANS'!AT59+'CAR FINANCE'!AR59</f>
        <v>29228491.6500002</v>
      </c>
      <c r="AT61" s="14">
        <f aca="true" t="shared" si="59" ref="AT61:AT74">+AS61/$AS$76</f>
        <v>0.1293573212668371</v>
      </c>
      <c r="AU61" s="10">
        <f>+'SECURED LOANS'!AM40+'RETAIL CREDIT'!AU59+'UNSECURED LOANS'!AV59+'CAR FINANCE'!AT59</f>
        <v>44596</v>
      </c>
      <c r="AV61" s="14">
        <f aca="true" t="shared" si="60" ref="AV61:AV74">+AU61/$AU$76</f>
        <v>0.6331151776714604</v>
      </c>
      <c r="AW61" s="56"/>
      <c r="AX61" s="55"/>
      <c r="AY61" s="56"/>
      <c r="AZ61" s="9">
        <f>+'SECURED LOANS'!AP40+'RETAIL CREDIT'!AZ59+'UNSECURED LOANS'!BA59+'CAR FINANCE'!AY59</f>
        <v>31217170.820000492</v>
      </c>
      <c r="BA61" s="14">
        <f>+AZ61/$AZ$76</f>
        <v>0.1181696384725452</v>
      </c>
      <c r="BB61" s="10">
        <f>+'SECURED LOANS'!AR40+'RETAIL CREDIT'!BB59+'UNSECURED LOANS'!BC59+'CAR FINANCE'!BA59</f>
        <v>45343</v>
      </c>
      <c r="BC61" s="14">
        <f aca="true" t="shared" si="61" ref="BC61:BC74">+BB61/$BB$76</f>
        <v>0.6158307188743566</v>
      </c>
      <c r="BD61" s="56"/>
      <c r="BE61" s="55"/>
      <c r="BF61" s="56"/>
      <c r="BG61" s="9">
        <f>+'SECURED LOANS'!AU40+'RETAIL CREDIT'!BG59+'UNSECURED LOANS'!BH59+'CAR FINANCE'!BE59</f>
        <v>27285922.440000154</v>
      </c>
      <c r="BH61" s="14">
        <f aca="true" t="shared" si="62" ref="BH61:BH74">+BG61/$BG$76</f>
        <v>0.11531748708120107</v>
      </c>
      <c r="BI61" s="10">
        <f>+'SECURED LOANS'!AW40+'RETAIL CREDIT'!BI59+'UNSECURED LOANS'!BJ59+'CAR FINANCE'!BG59</f>
        <v>38988</v>
      </c>
      <c r="BJ61" s="14">
        <f aca="true" t="shared" si="63" ref="BJ61:BJ74">+BI61/$BI$76</f>
        <v>0.6041185676433674</v>
      </c>
      <c r="BK61" s="56"/>
      <c r="BL61" s="55"/>
      <c r="BM61" s="56"/>
      <c r="BN61" s="9">
        <f>+'SECURED LOANS'!AZ40+'RETAIL CREDIT'!BN59+'UNSECURED LOANS'!BO59+'CAR FINANCE'!BL59</f>
        <v>24345654.759999923</v>
      </c>
      <c r="BO61" s="14">
        <f aca="true" t="shared" si="64" ref="BO61:BO74">+BN61/$BN$76</f>
        <v>0.11213551206119775</v>
      </c>
      <c r="BP61" s="10">
        <f>+'SECURED LOANS'!BB40+'RETAIL CREDIT'!BP59+'UNSECURED LOANS'!BQ59+'CAR FINANCE'!BN59</f>
        <v>34740</v>
      </c>
      <c r="BQ61" s="14">
        <f aca="true" t="shared" si="65" ref="BQ61:BQ74">+BP61/$BP$76</f>
        <v>0.5974101907103919</v>
      </c>
      <c r="BR61" s="56"/>
      <c r="BS61" s="55"/>
      <c r="BT61" s="56"/>
      <c r="BU61" s="9">
        <f>+'SECURED LOANS'!BE40+'RETAIL CREDIT'!BU59+'UNSECURED LOANS'!BV59+'CAR FINANCE'!BS59</f>
        <v>22803843.47000016</v>
      </c>
      <c r="BV61" s="14">
        <f aca="true" t="shared" si="66" ref="BV61:BV74">+BU61/$BU$76</f>
        <v>0.09825631932818264</v>
      </c>
      <c r="BW61" s="10">
        <f>+'SECURED LOANS'!BG40+'RETAIL CREDIT'!BW59+'UNSECURED LOANS'!BX59+'CAR FINANCE'!BU59</f>
        <v>32573</v>
      </c>
      <c r="BX61" s="14">
        <f aca="true" t="shared" si="67" ref="BX61:BX74">+BW61/$BW$76</f>
        <v>0.5833587048014757</v>
      </c>
      <c r="BY61" s="56"/>
      <c r="BZ61" s="55"/>
      <c r="CA61" s="56"/>
      <c r="CB61" s="9">
        <f>+'SECURED LOANS'!BJ40+'RETAIL CREDIT'!CB59+'UNSECURED LOANS'!CC59+'CAR FINANCE'!BZ59</f>
        <v>23201266.38000006</v>
      </c>
      <c r="CC61" s="14">
        <f aca="true" t="shared" si="68" ref="CC61:CC74">+CB61/$CB$76</f>
        <v>0.0996461509728701</v>
      </c>
      <c r="CD61" s="10">
        <f>+'SECURED LOANS'!BL40+'RETAIL CREDIT'!CD59+'UNSECURED LOANS'!CE59+'CAR FINANCE'!CB59</f>
        <v>32121</v>
      </c>
      <c r="CE61" s="14">
        <f aca="true" t="shared" si="69" ref="CE61:CE74">+CD61/$CD$76</f>
        <v>0.5855299135951001</v>
      </c>
      <c r="CF61" s="56"/>
      <c r="CG61" s="55"/>
      <c r="CH61" s="56"/>
      <c r="CI61" s="9">
        <f>+'SECURED LOANS'!BO40+'RETAIL CREDIT'!CI59+'UNSECURED LOANS'!CJ59+'CAR FINANCE'!CG59</f>
        <v>18379701.89999998</v>
      </c>
      <c r="CJ61" s="14">
        <f aca="true" t="shared" si="70" ref="CJ61:CJ74">+CI61/$CI$76</f>
        <v>0.08222805571637844</v>
      </c>
      <c r="CK61" s="10">
        <f>+'SECURED LOANS'!BQ40+'RETAIL CREDIT'!CK59+'UNSECURED LOANS'!CL59+'CAR FINANCE'!CI59</f>
        <v>26112</v>
      </c>
      <c r="CL61" s="14">
        <f aca="true" t="shared" si="71" ref="CL61:CL74">+CK61/$CK$76</f>
        <v>0.5546775426969156</v>
      </c>
      <c r="CM61" s="56"/>
      <c r="CN61" s="55"/>
      <c r="CO61" s="9">
        <f>+'SECURED LOANS'!BT40+'RETAIL CREDIT'!CP59+'UNSECURED LOANS'!CQ59+'CAR FINANCE'!CN59</f>
        <v>15172227.689999973</v>
      </c>
      <c r="CP61" s="14">
        <f aca="true" t="shared" si="72" ref="CP61:CP74">+CO61/$CO$76</f>
        <v>0.07127417944678642</v>
      </c>
      <c r="CQ61" s="10">
        <f>+'SECURED LOANS'!BV40+'RETAIL CREDIT'!CR59+'UNSECURED LOANS'!CS59+'CAR FINANCE'!CP59</f>
        <v>21281</v>
      </c>
      <c r="CR61" s="14">
        <f aca="true" t="shared" si="73" ref="CR61:CR74">+CQ61/$CQ$76</f>
        <v>0.5286285614924112</v>
      </c>
      <c r="CS61" s="34"/>
      <c r="CT61" s="34"/>
      <c r="CU61" s="100">
        <f>+'SECURED LOANS'!BY40+'RETAIL CREDIT'!CW59+'UNSECURED LOANS'!CX59+'CAR FINANCE'!CU59</f>
        <v>16737908.809999969</v>
      </c>
      <c r="CV61" s="14">
        <f aca="true" t="shared" si="74" ref="CV61:CV74">+CU61/$CU$76</f>
        <v>0.06956393134945488</v>
      </c>
      <c r="CW61" s="10">
        <f>+'SECURED LOANS'!CA40+'RETAIL CREDIT'!CY59+'UNSECURED LOANS'!CZ59+'CAR FINANCE'!CW59</f>
        <v>21752</v>
      </c>
      <c r="CX61" s="14">
        <f aca="true" t="shared" si="75" ref="CX61:CX74">+CW61/$CW$76</f>
        <v>0.4977004919345613</v>
      </c>
      <c r="CY61" s="34"/>
      <c r="CZ61" s="34"/>
    </row>
    <row r="62" spans="1:104" ht="12.75">
      <c r="A62" s="8" t="s">
        <v>18</v>
      </c>
      <c r="B62" s="8"/>
      <c r="C62" s="8"/>
      <c r="D62" s="9">
        <f>+'SECURED LOANS'!D41+'RETAIL CREDIT'!D60+'UNSECURED LOANS'!D60+'CAR FINANCE'!D60</f>
        <v>23463825.140000027</v>
      </c>
      <c r="E62" s="14">
        <f aca="true" t="shared" si="76" ref="E62:E74">+D62/$D$76</f>
        <v>0.1151322811613556</v>
      </c>
      <c r="F62" s="10">
        <f>+'SECURED LOANS'!F41+'RETAIL CREDIT'!F60+'UNSECURED LOANS'!F60+'CAR FINANCE'!F60</f>
        <v>8481</v>
      </c>
      <c r="G62" s="14">
        <f aca="true" t="shared" si="77" ref="G62:G74">+F62/$F$76</f>
        <v>0.08399524611270674</v>
      </c>
      <c r="H62" s="14"/>
      <c r="I62" s="9">
        <v>18975025.37</v>
      </c>
      <c r="J62" s="14">
        <v>0.1086</v>
      </c>
      <c r="K62" s="10">
        <v>6784</v>
      </c>
      <c r="L62" s="14">
        <v>0.0833</v>
      </c>
      <c r="M62" s="56"/>
      <c r="N62" s="55"/>
      <c r="O62" s="56"/>
      <c r="P62" s="9">
        <f>+'SECURED LOANS'!Q41+'RETAIL CREDIT'!Q60+'UNSECURED LOANS'!R60+'CAR FINANCE'!P60</f>
        <v>22275470.230000034</v>
      </c>
      <c r="Q62" s="14">
        <f aca="true" t="shared" si="78" ref="Q62:Q74">+P62/$P$76</f>
        <v>0.09900526235213351</v>
      </c>
      <c r="R62" s="10">
        <f>+'SECURED LOANS'!S41+'RETAIL CREDIT'!S60+'UNSECURED LOANS'!T60+'CAR FINANCE'!R60</f>
        <v>7938</v>
      </c>
      <c r="S62" s="14">
        <f aca="true" t="shared" si="79" ref="S62:S74">+R62/$R$76</f>
        <v>0.0883934835139138</v>
      </c>
      <c r="T62" s="56"/>
      <c r="U62" s="55"/>
      <c r="V62" s="56"/>
      <c r="W62" s="9">
        <f>+'SECURED LOANS'!V41+'RETAIL CREDIT'!X60+'UNSECURED LOANS'!Y60+'CAR FINANCE'!W60</f>
        <v>22113223.970000036</v>
      </c>
      <c r="X62" s="14">
        <f aca="true" t="shared" si="80" ref="X62:X74">+W62/$P$76</f>
        <v>0.09828414475636134</v>
      </c>
      <c r="Y62" s="10">
        <f>+'SECURED LOANS'!X41+'RETAIL CREDIT'!Z60+'UNSECURED LOANS'!AA60+'CAR FINANCE'!Y60</f>
        <v>7826</v>
      </c>
      <c r="Z62" s="14">
        <f t="shared" si="54"/>
        <v>0.09386844504150074</v>
      </c>
      <c r="AA62" s="56"/>
      <c r="AB62" s="55"/>
      <c r="AC62" s="56"/>
      <c r="AD62" s="34"/>
      <c r="AE62" s="9">
        <f>+'SECURED LOANS'!AA41+'RETAIL CREDIT'!AE60+'UNSECURED LOANS'!AF60+'CAR FINANCE'!AD60</f>
        <v>20649435.52</v>
      </c>
      <c r="AF62" s="14">
        <f t="shared" si="55"/>
        <v>0.08886393600919518</v>
      </c>
      <c r="AG62" s="10">
        <f>+'SECURED LOANS'!AC41+'RETAIL CREDIT'!AG60+'UNSECURED LOANS'!AH60+'CAR FINANCE'!AF60</f>
        <v>7277</v>
      </c>
      <c r="AH62" s="14">
        <f t="shared" si="56"/>
        <v>0.09518639633747547</v>
      </c>
      <c r="AI62" s="56"/>
      <c r="AJ62" s="55"/>
      <c r="AK62" s="56"/>
      <c r="AL62" s="9">
        <f>+'SECURED LOANS'!AF41+'RETAIL CREDIT'!AL60+'UNSECURED LOANS'!AM60+'CAR FINANCE'!AK60</f>
        <v>20716443.5</v>
      </c>
      <c r="AM62" s="14">
        <f t="shared" si="57"/>
        <v>0.09065172509392101</v>
      </c>
      <c r="AN62" s="10">
        <f>+'SECURED LOANS'!AH41+'RETAIL CREDIT'!AN60+'UNSECURED LOANS'!AO60+'CAR FINANCE'!AM60</f>
        <v>7281</v>
      </c>
      <c r="AO62" s="14">
        <f t="shared" si="58"/>
        <v>0.09812800711599887</v>
      </c>
      <c r="AP62" s="56"/>
      <c r="AQ62" s="55"/>
      <c r="AR62" s="56"/>
      <c r="AS62" s="9">
        <f>+'SECURED LOANS'!AK41+'RETAIL CREDIT'!AS60+'UNSECURED LOANS'!AT60+'CAR FINANCE'!AR60</f>
        <v>21198502.800000023</v>
      </c>
      <c r="AT62" s="14">
        <f t="shared" si="59"/>
        <v>0.09381878373718713</v>
      </c>
      <c r="AU62" s="10">
        <f>+'SECURED LOANS'!AM41+'RETAIL CREDIT'!AU60+'UNSECURED LOANS'!AV60+'CAR FINANCE'!AT60</f>
        <v>7368</v>
      </c>
      <c r="AV62" s="14">
        <f t="shared" si="60"/>
        <v>0.10460114425247377</v>
      </c>
      <c r="AW62" s="56"/>
      <c r="AX62" s="55"/>
      <c r="AY62" s="56"/>
      <c r="AZ62" s="9">
        <f>+'SECURED LOANS'!AP41+'RETAIL CREDIT'!AZ60+'UNSECURED LOANS'!BA60+'CAR FINANCE'!AY60</f>
        <v>23554935.4</v>
      </c>
      <c r="BA62" s="14">
        <f aca="true" t="shared" si="81" ref="BA62:BA74">+AZ62/$AZ$76</f>
        <v>0.08916497322937457</v>
      </c>
      <c r="BB62" s="10">
        <f>+'SECURED LOANS'!AR41+'RETAIL CREDIT'!BB60+'UNSECURED LOANS'!BC60+'CAR FINANCE'!BA60</f>
        <v>8197</v>
      </c>
      <c r="BC62" s="14">
        <f t="shared" si="61"/>
        <v>0.11132841679229652</v>
      </c>
      <c r="BD62" s="56"/>
      <c r="BE62" s="55"/>
      <c r="BF62" s="56"/>
      <c r="BG62" s="9">
        <f>+'SECURED LOANS'!AU41+'RETAIL CREDIT'!BG60+'UNSECURED LOANS'!BH60+'CAR FINANCE'!BE60</f>
        <v>22070439.65999999</v>
      </c>
      <c r="BH62" s="14">
        <f t="shared" si="62"/>
        <v>0.0932754846740106</v>
      </c>
      <c r="BI62" s="10">
        <f>+'SECURED LOANS'!AW41+'RETAIL CREDIT'!BI60+'UNSECURED LOANS'!BJ60+'CAR FINANCE'!BG60</f>
        <v>7587</v>
      </c>
      <c r="BJ62" s="14">
        <f t="shared" si="63"/>
        <v>0.11756046918821761</v>
      </c>
      <c r="BK62" s="56"/>
      <c r="BL62" s="55"/>
      <c r="BM62" s="56"/>
      <c r="BN62" s="9">
        <f>+'SECURED LOANS'!AZ41+'RETAIL CREDIT'!BN60+'UNSECURED LOANS'!BO60+'CAR FINANCE'!BL60</f>
        <v>20946079.770000003</v>
      </c>
      <c r="BO62" s="14">
        <f t="shared" si="64"/>
        <v>0.0964771497763428</v>
      </c>
      <c r="BP62" s="10">
        <f>+'SECURED LOANS'!BB41+'RETAIL CREDIT'!BP60+'UNSECURED LOANS'!BQ60+'CAR FINANCE'!BN60</f>
        <v>7213</v>
      </c>
      <c r="BQ62" s="14">
        <f t="shared" si="65"/>
        <v>0.1240391394816942</v>
      </c>
      <c r="BR62" s="56"/>
      <c r="BS62" s="55"/>
      <c r="BT62" s="56"/>
      <c r="BU62" s="9">
        <f>+'SECURED LOANS'!BE41+'RETAIL CREDIT'!BU60+'UNSECURED LOANS'!BV60+'CAR FINANCE'!BS60</f>
        <v>21093160.64</v>
      </c>
      <c r="BV62" s="14">
        <f t="shared" si="66"/>
        <v>0.09088539527168045</v>
      </c>
      <c r="BW62" s="10">
        <f>+'SECURED LOANS'!BG41+'RETAIL CREDIT'!BW60+'UNSECURED LOANS'!BX60+'CAR FINANCE'!BU60</f>
        <v>7262</v>
      </c>
      <c r="BX62" s="14">
        <f t="shared" si="67"/>
        <v>0.13005713057649945</v>
      </c>
      <c r="BY62" s="56"/>
      <c r="BZ62" s="55"/>
      <c r="CA62" s="56"/>
      <c r="CB62" s="9">
        <f>+'SECURED LOANS'!BJ41+'RETAIL CREDIT'!CB60+'UNSECURED LOANS'!CC60+'CAR FINANCE'!BZ60</f>
        <v>21632384.300000004</v>
      </c>
      <c r="CC62" s="14">
        <f t="shared" si="68"/>
        <v>0.09290802478433248</v>
      </c>
      <c r="CD62" s="10">
        <f>+'SECURED LOANS'!BL41+'RETAIL CREDIT'!CD60+'UNSECURED LOANS'!CE60+'CAR FINANCE'!CB60</f>
        <v>7514</v>
      </c>
      <c r="CE62" s="14">
        <f t="shared" si="69"/>
        <v>0.13697181814867476</v>
      </c>
      <c r="CF62" s="56"/>
      <c r="CG62" s="55"/>
      <c r="CH62" s="56"/>
      <c r="CI62" s="9">
        <f>+'SECURED LOANS'!BO41+'RETAIL CREDIT'!CI60+'UNSECURED LOANS'!CJ60+'CAR FINANCE'!CG60</f>
        <v>19395039.81000004</v>
      </c>
      <c r="CJ62" s="14">
        <f t="shared" si="70"/>
        <v>0.0867705266818317</v>
      </c>
      <c r="CK62" s="10">
        <f>+'SECURED LOANS'!BQ41+'RETAIL CREDIT'!CK60+'UNSECURED LOANS'!CL60+'CAR FINANCE'!CI60</f>
        <v>6733</v>
      </c>
      <c r="CL62" s="14">
        <f t="shared" si="71"/>
        <v>0.14302404622312856</v>
      </c>
      <c r="CM62" s="56"/>
      <c r="CN62" s="55"/>
      <c r="CO62" s="9">
        <f>+'SECURED LOANS'!BT41+'RETAIL CREDIT'!CP60+'UNSECURED LOANS'!CQ60+'CAR FINANCE'!CN60</f>
        <v>17281484.75999999</v>
      </c>
      <c r="CP62" s="14">
        <f t="shared" si="72"/>
        <v>0.0811827815306894</v>
      </c>
      <c r="CQ62" s="10">
        <f>+'SECURED LOANS'!BV41+'RETAIL CREDIT'!CR60+'UNSECURED LOANS'!CS60+'CAR FINANCE'!CP60</f>
        <v>5983</v>
      </c>
      <c r="CR62" s="14">
        <f t="shared" si="73"/>
        <v>0.148620115756266</v>
      </c>
      <c r="CS62" s="34"/>
      <c r="CT62" s="34"/>
      <c r="CU62" s="100">
        <f>+'SECURED LOANS'!BY41+'RETAIL CREDIT'!CW60+'UNSECURED LOANS'!CX60+'CAR FINANCE'!CU60</f>
        <v>20988620.299999997</v>
      </c>
      <c r="CV62" s="14">
        <f t="shared" si="74"/>
        <v>0.087230188564337</v>
      </c>
      <c r="CW62" s="10">
        <f>+'SECURED LOANS'!CA41+'RETAIL CREDIT'!CY60+'UNSECURED LOANS'!CZ60+'CAR FINANCE'!CW60</f>
        <v>7261</v>
      </c>
      <c r="CX62" s="14">
        <f t="shared" si="75"/>
        <v>0.16613659764329025</v>
      </c>
      <c r="CY62" s="34"/>
      <c r="CZ62" s="34"/>
    </row>
    <row r="63" spans="1:104" ht="12.75">
      <c r="A63" s="8" t="s">
        <v>19</v>
      </c>
      <c r="B63" s="8"/>
      <c r="C63" s="8"/>
      <c r="D63" s="9">
        <f>+'SECURED LOANS'!D42+'RETAIL CREDIT'!D61+'UNSECURED LOANS'!D61+'CAR FINANCE'!D61</f>
        <v>19789179.05000003</v>
      </c>
      <c r="E63" s="14">
        <f t="shared" si="76"/>
        <v>0.09710153023826229</v>
      </c>
      <c r="F63" s="10">
        <f>+'SECURED LOANS'!F42+'RETAIL CREDIT'!F61+'UNSECURED LOANS'!F61+'CAR FINANCE'!F61</f>
        <v>3997</v>
      </c>
      <c r="G63" s="14">
        <f t="shared" si="77"/>
        <v>0.03958601564821234</v>
      </c>
      <c r="H63" s="14"/>
      <c r="I63" s="9">
        <v>17962649.13</v>
      </c>
      <c r="J63" s="14">
        <v>0.1028</v>
      </c>
      <c r="K63" s="10">
        <v>3628</v>
      </c>
      <c r="L63" s="14">
        <v>0.0445</v>
      </c>
      <c r="M63" s="56"/>
      <c r="N63" s="55"/>
      <c r="O63" s="56"/>
      <c r="P63" s="9">
        <f>+'SECURED LOANS'!Q42+'RETAIL CREDIT'!Q61+'UNSECURED LOANS'!R61+'CAR FINANCE'!P61</f>
        <v>22589416.11000002</v>
      </c>
      <c r="Q63" s="14">
        <f t="shared" si="78"/>
        <v>0.10040062208608469</v>
      </c>
      <c r="R63" s="10">
        <f>+'SECURED LOANS'!S42+'RETAIL CREDIT'!S61+'UNSECURED LOANS'!T61+'CAR FINANCE'!R61</f>
        <v>4522</v>
      </c>
      <c r="S63" s="14">
        <f t="shared" si="79"/>
        <v>0.0503546652116299</v>
      </c>
      <c r="T63" s="56"/>
      <c r="U63" s="55"/>
      <c r="V63" s="56"/>
      <c r="W63" s="9">
        <f>+'SECURED LOANS'!V42+'RETAIL CREDIT'!X61+'UNSECURED LOANS'!Y61+'CAR FINANCE'!W61</f>
        <v>24630804.360000007</v>
      </c>
      <c r="X63" s="14">
        <f t="shared" si="80"/>
        <v>0.10947374948438388</v>
      </c>
      <c r="Y63" s="10">
        <f>+'SECURED LOANS'!X42+'RETAIL CREDIT'!Z61+'UNSECURED LOANS'!AA61+'CAR FINANCE'!Y61</f>
        <v>4926</v>
      </c>
      <c r="Z63" s="14">
        <f t="shared" si="54"/>
        <v>0.05908458475267476</v>
      </c>
      <c r="AA63" s="56"/>
      <c r="AB63" s="55"/>
      <c r="AC63" s="56"/>
      <c r="AD63" s="34"/>
      <c r="AE63" s="9">
        <f>+'SECURED LOANS'!AA42+'RETAIL CREDIT'!AE61+'UNSECURED LOANS'!AF61+'CAR FINANCE'!AD61</f>
        <v>25087537.159999996</v>
      </c>
      <c r="AF63" s="14">
        <f t="shared" si="55"/>
        <v>0.10796311088771815</v>
      </c>
      <c r="AG63" s="10">
        <f>+'SECURED LOANS'!AC42+'RETAIL CREDIT'!AG61+'UNSECURED LOANS'!AH61+'CAR FINANCE'!AF61</f>
        <v>5046</v>
      </c>
      <c r="AH63" s="14">
        <f t="shared" si="56"/>
        <v>0.06600392413342053</v>
      </c>
      <c r="AI63" s="56"/>
      <c r="AJ63" s="55"/>
      <c r="AK63" s="56"/>
      <c r="AL63" s="9">
        <f>+'SECURED LOANS'!AF42+'RETAIL CREDIT'!AL61+'UNSECURED LOANS'!AM61+'CAR FINANCE'!AK61</f>
        <v>26307600.750000007</v>
      </c>
      <c r="AM63" s="14">
        <f t="shared" si="57"/>
        <v>0.11511770304925316</v>
      </c>
      <c r="AN63" s="10">
        <f>+'SECURED LOANS'!AH42+'RETAIL CREDIT'!AN61+'UNSECURED LOANS'!AO61+'CAR FINANCE'!AM61</f>
        <v>5303</v>
      </c>
      <c r="AO63" s="14">
        <f t="shared" si="58"/>
        <v>0.07146996590250543</v>
      </c>
      <c r="AP63" s="56"/>
      <c r="AQ63" s="55"/>
      <c r="AR63" s="56"/>
      <c r="AS63" s="9">
        <f>+'SECURED LOANS'!AK42+'RETAIL CREDIT'!AS61+'UNSECURED LOANS'!AT61+'CAR FINANCE'!AR61</f>
        <v>29098623.660000023</v>
      </c>
      <c r="AT63" s="14">
        <f t="shared" si="59"/>
        <v>0.12878256101215488</v>
      </c>
      <c r="AU63" s="10">
        <f>+'SECURED LOANS'!AM42+'RETAIL CREDIT'!AU61+'UNSECURED LOANS'!AV61+'CAR FINANCE'!AT61</f>
        <v>5852</v>
      </c>
      <c r="AV63" s="14">
        <f t="shared" si="60"/>
        <v>0.08307897613537955</v>
      </c>
      <c r="AW63" s="56"/>
      <c r="AX63" s="55"/>
      <c r="AY63" s="56"/>
      <c r="AZ63" s="9">
        <f>+'SECURED LOANS'!AP42+'RETAIL CREDIT'!AZ61+'UNSECURED LOANS'!BA61+'CAR FINANCE'!AY61</f>
        <v>30670328.050000012</v>
      </c>
      <c r="BA63" s="14">
        <f t="shared" si="81"/>
        <v>0.1160996170473211</v>
      </c>
      <c r="BB63" s="10">
        <f>+'SECURED LOANS'!AR42+'RETAIL CREDIT'!BB61+'UNSECURED LOANS'!BC61+'CAR FINANCE'!BA61</f>
        <v>6180</v>
      </c>
      <c r="BC63" s="14">
        <f t="shared" si="61"/>
        <v>0.0839343193578617</v>
      </c>
      <c r="BD63" s="56"/>
      <c r="BE63" s="55"/>
      <c r="BF63" s="56"/>
      <c r="BG63" s="9">
        <f>+'SECURED LOANS'!AU42+'RETAIL CREDIT'!BG61+'UNSECURED LOANS'!BH61+'CAR FINANCE'!BE61</f>
        <v>27755737.179999977</v>
      </c>
      <c r="BH63" s="14">
        <f t="shared" si="62"/>
        <v>0.11730304777938237</v>
      </c>
      <c r="BI63" s="10">
        <f>+'SECURED LOANS'!AW42+'RETAIL CREDIT'!BI61+'UNSECURED LOANS'!BJ61+'CAR FINANCE'!BG61</f>
        <v>5604</v>
      </c>
      <c r="BJ63" s="14">
        <f t="shared" si="63"/>
        <v>0.08683390923036398</v>
      </c>
      <c r="BK63" s="56"/>
      <c r="BL63" s="55"/>
      <c r="BM63" s="56"/>
      <c r="BN63" s="9">
        <f>+'SECURED LOANS'!AZ42+'RETAIL CREDIT'!BN61+'UNSECURED LOANS'!BO61+'CAR FINANCE'!BL61</f>
        <v>25729357.560000025</v>
      </c>
      <c r="BO63" s="14">
        <f t="shared" si="64"/>
        <v>0.11850881454774483</v>
      </c>
      <c r="BP63" s="10">
        <f>+'SECURED LOANS'!BB42+'RETAIL CREDIT'!BP61+'UNSECURED LOANS'!BQ61+'CAR FINANCE'!BN61</f>
        <v>5200</v>
      </c>
      <c r="BQ63" s="14">
        <f t="shared" si="65"/>
        <v>0.08942236590944266</v>
      </c>
      <c r="BR63" s="56"/>
      <c r="BS63" s="55"/>
      <c r="BT63" s="56"/>
      <c r="BU63" s="9">
        <f>+'SECURED LOANS'!BE42+'RETAIL CREDIT'!BU61+'UNSECURED LOANS'!BV61+'CAR FINANCE'!BS61</f>
        <v>24246931.319999997</v>
      </c>
      <c r="BV63" s="14">
        <f t="shared" si="66"/>
        <v>0.10447424047795467</v>
      </c>
      <c r="BW63" s="10">
        <f>+'SECURED LOANS'!BG42+'RETAIL CREDIT'!BW61+'UNSECURED LOANS'!BX61+'CAR FINANCE'!BU61</f>
        <v>4896</v>
      </c>
      <c r="BX63" s="14">
        <f t="shared" si="67"/>
        <v>0.08768379390010209</v>
      </c>
      <c r="BY63" s="56"/>
      <c r="BZ63" s="55"/>
      <c r="CA63" s="56"/>
      <c r="CB63" s="9">
        <f>+'SECURED LOANS'!BJ42+'RETAIL CREDIT'!CB61+'UNSECURED LOANS'!CC61+'CAR FINANCE'!BZ61</f>
        <v>22756376.620000005</v>
      </c>
      <c r="CC63" s="14">
        <f t="shared" si="68"/>
        <v>0.0977354125043241</v>
      </c>
      <c r="CD63" s="10">
        <f>+'SECURED LOANS'!BL42+'RETAIL CREDIT'!CD61+'UNSECURED LOANS'!CE61+'CAR FINANCE'!CB61</f>
        <v>4604</v>
      </c>
      <c r="CE63" s="14">
        <f t="shared" si="69"/>
        <v>0.08392577199314594</v>
      </c>
      <c r="CF63" s="56"/>
      <c r="CG63" s="55"/>
      <c r="CH63" s="56"/>
      <c r="CI63" s="9">
        <f>+'SECURED LOANS'!BO42+'RETAIL CREDIT'!CI61+'UNSECURED LOANS'!CJ61+'CAR FINANCE'!CG61</f>
        <v>20312027.389999986</v>
      </c>
      <c r="CJ63" s="14">
        <f t="shared" si="70"/>
        <v>0.09087299288230162</v>
      </c>
      <c r="CK63" s="10">
        <f>+'SECURED LOANS'!BQ42+'RETAIL CREDIT'!CK61+'UNSECURED LOANS'!CL61+'CAR FINANCE'!CI61</f>
        <v>4109</v>
      </c>
      <c r="CL63" s="14">
        <f t="shared" si="71"/>
        <v>0.08728439119721301</v>
      </c>
      <c r="CM63" s="56"/>
      <c r="CN63" s="55"/>
      <c r="CO63" s="9">
        <f>+'SECURED LOANS'!BT42+'RETAIL CREDIT'!CP61+'UNSECURED LOANS'!CQ61+'CAR FINANCE'!CN61</f>
        <v>17603651.330000013</v>
      </c>
      <c r="CP63" s="14">
        <f t="shared" si="72"/>
        <v>0.08269621504823882</v>
      </c>
      <c r="CQ63" s="10">
        <f>+'SECURED LOANS'!BV42+'RETAIL CREDIT'!CR61+'UNSECURED LOANS'!CS61+'CAR FINANCE'!CP61</f>
        <v>3558</v>
      </c>
      <c r="CR63" s="14">
        <f t="shared" si="73"/>
        <v>0.08838214472017289</v>
      </c>
      <c r="CS63" s="34"/>
      <c r="CT63" s="34"/>
      <c r="CU63" s="100">
        <f>+'SECURED LOANS'!BY42+'RETAIL CREDIT'!CW61+'UNSECURED LOANS'!CX61+'CAR FINANCE'!CU61</f>
        <v>21072157.550000004</v>
      </c>
      <c r="CV63" s="14">
        <f t="shared" si="74"/>
        <v>0.08757737527625473</v>
      </c>
      <c r="CW63" s="10">
        <f>+'SECURED LOANS'!CA42+'RETAIL CREDIT'!CY61+'UNSECURED LOANS'!CZ61+'CAR FINANCE'!CW61</f>
        <v>4282</v>
      </c>
      <c r="CX63" s="14">
        <f t="shared" si="75"/>
        <v>0.09797506006177784</v>
      </c>
      <c r="CY63" s="34"/>
      <c r="CZ63" s="34"/>
    </row>
    <row r="64" spans="1:104" ht="12.75">
      <c r="A64" s="8" t="s">
        <v>20</v>
      </c>
      <c r="B64" s="8"/>
      <c r="C64" s="8"/>
      <c r="D64" s="9">
        <f>+'SECURED LOANS'!D43+'RETAIL CREDIT'!D62+'UNSECURED LOANS'!D62+'CAR FINANCE'!D62</f>
        <v>18697153.19000002</v>
      </c>
      <c r="E64" s="14">
        <f t="shared" si="76"/>
        <v>0.09174317849472419</v>
      </c>
      <c r="F64" s="10">
        <f>+'SECURED LOANS'!F43+'RETAIL CREDIT'!F62+'UNSECURED LOANS'!F62+'CAR FINANCE'!F62</f>
        <v>2690</v>
      </c>
      <c r="G64" s="14">
        <f t="shared" si="77"/>
        <v>0.026641576705952262</v>
      </c>
      <c r="H64" s="14"/>
      <c r="I64" s="9">
        <v>17271154.56</v>
      </c>
      <c r="J64" s="14">
        <v>0.0988</v>
      </c>
      <c r="K64" s="10">
        <v>2481</v>
      </c>
      <c r="L64" s="14">
        <v>0.0305</v>
      </c>
      <c r="M64" s="56"/>
      <c r="N64" s="55"/>
      <c r="O64" s="56"/>
      <c r="P64" s="9">
        <f>+'SECURED LOANS'!Q43+'RETAIL CREDIT'!Q62+'UNSECURED LOANS'!R62+'CAR FINANCE'!P62</f>
        <v>22178446.309999973</v>
      </c>
      <c r="Q64" s="14">
        <f t="shared" si="78"/>
        <v>0.09857403111190131</v>
      </c>
      <c r="R64" s="10">
        <f>+'SECURED LOANS'!S43+'RETAIL CREDIT'!S62+'UNSECURED LOANS'!T62+'CAR FINANCE'!R62</f>
        <v>3193</v>
      </c>
      <c r="S64" s="14">
        <f t="shared" si="79"/>
        <v>0.035555605046602004</v>
      </c>
      <c r="T64" s="56"/>
      <c r="U64" s="55"/>
      <c r="V64" s="56"/>
      <c r="W64" s="9">
        <f>+'SECURED LOANS'!V43+'RETAIL CREDIT'!X62+'UNSECURED LOANS'!Y62+'CAR FINANCE'!W62</f>
        <v>23813975.27000001</v>
      </c>
      <c r="X64" s="14">
        <f t="shared" si="80"/>
        <v>0.10584328164162697</v>
      </c>
      <c r="Y64" s="10">
        <f>+'SECURED LOANS'!X43+'RETAIL CREDIT'!Z62+'UNSECURED LOANS'!AA62+'CAR FINANCE'!Y62</f>
        <v>3430</v>
      </c>
      <c r="Z64" s="14">
        <f t="shared" si="54"/>
        <v>0.04114091061747349</v>
      </c>
      <c r="AA64" s="56"/>
      <c r="AB64" s="55"/>
      <c r="AC64" s="56"/>
      <c r="AD64" s="34"/>
      <c r="AE64" s="9">
        <f>+'SECURED LOANS'!AA43+'RETAIL CREDIT'!AE62+'UNSECURED LOANS'!AF62+'CAR FINANCE'!AD62</f>
        <v>24927974.59999997</v>
      </c>
      <c r="AF64" s="14">
        <f t="shared" si="55"/>
        <v>0.1072764404405976</v>
      </c>
      <c r="AG64" s="10">
        <f>+'SECURED LOANS'!AC43+'RETAIL CREDIT'!AG62+'UNSECURED LOANS'!AH62+'CAR FINANCE'!AF62</f>
        <v>3599</v>
      </c>
      <c r="AH64" s="14">
        <f t="shared" si="56"/>
        <v>0.04707652060170046</v>
      </c>
      <c r="AI64" s="56"/>
      <c r="AJ64" s="55"/>
      <c r="AK64" s="56"/>
      <c r="AL64" s="9">
        <f>+'SECURED LOANS'!AF43+'RETAIL CREDIT'!AL62+'UNSECURED LOANS'!AM62+'CAR FINANCE'!AK62</f>
        <v>25675852.390000004</v>
      </c>
      <c r="AM64" s="14">
        <f t="shared" si="57"/>
        <v>0.11235327687449707</v>
      </c>
      <c r="AN64" s="10">
        <f>+'SECURED LOANS'!AH43+'RETAIL CREDIT'!AN62+'UNSECURED LOANS'!AO62+'CAR FINANCE'!AM62</f>
        <v>3712</v>
      </c>
      <c r="AO64" s="14">
        <f t="shared" si="58"/>
        <v>0.05002762840469548</v>
      </c>
      <c r="AP64" s="56"/>
      <c r="AQ64" s="55"/>
      <c r="AR64" s="56"/>
      <c r="AS64" s="9">
        <f>+'SECURED LOANS'!AK43+'RETAIL CREDIT'!AS62+'UNSECURED LOANS'!AT62+'CAR FINANCE'!AR62</f>
        <v>27480201.689999998</v>
      </c>
      <c r="AT64" s="14">
        <f t="shared" si="59"/>
        <v>0.12161986739027586</v>
      </c>
      <c r="AU64" s="10">
        <f>+'SECURED LOANS'!AM43+'RETAIL CREDIT'!AU62+'UNSECURED LOANS'!AV62+'CAR FINANCE'!AT62</f>
        <v>3958</v>
      </c>
      <c r="AV64" s="14">
        <f t="shared" si="60"/>
        <v>0.056190462669827794</v>
      </c>
      <c r="AW64" s="56"/>
      <c r="AX64" s="55"/>
      <c r="AY64" s="56"/>
      <c r="AZ64" s="9">
        <f>+'SECURED LOANS'!AP43+'RETAIL CREDIT'!AZ62+'UNSECURED LOANS'!BA62+'CAR FINANCE'!AY62</f>
        <v>28724465.68000002</v>
      </c>
      <c r="BA64" s="14">
        <f t="shared" si="81"/>
        <v>0.10873373965548173</v>
      </c>
      <c r="BB64" s="10">
        <f>+'SECURED LOANS'!AR43+'RETAIL CREDIT'!BB62+'UNSECURED LOANS'!BC62+'CAR FINANCE'!BA62</f>
        <v>4140</v>
      </c>
      <c r="BC64" s="14">
        <f t="shared" si="61"/>
        <v>0.05622784500672289</v>
      </c>
      <c r="BD64" s="56"/>
      <c r="BE64" s="55"/>
      <c r="BF64" s="56"/>
      <c r="BG64" s="9">
        <f>+'SECURED LOANS'!AU43+'RETAIL CREDIT'!BG62+'UNSECURED LOANS'!BH62+'CAR FINANCE'!BE62</f>
        <v>25985517.31</v>
      </c>
      <c r="BH64" s="14">
        <f t="shared" si="62"/>
        <v>0.10982163286887342</v>
      </c>
      <c r="BI64" s="10">
        <f>+'SECURED LOANS'!AW43+'RETAIL CREDIT'!BI62+'UNSECURED LOANS'!BJ62+'CAR FINANCE'!BG62</f>
        <v>3758</v>
      </c>
      <c r="BJ64" s="14">
        <f t="shared" si="63"/>
        <v>0.05823016254241753</v>
      </c>
      <c r="BK64" s="56"/>
      <c r="BL64" s="55"/>
      <c r="BM64" s="56"/>
      <c r="BN64" s="9">
        <f>+'SECURED LOANS'!AZ43+'RETAIL CREDIT'!BN62+'UNSECURED LOANS'!BO62+'CAR FINANCE'!BL62</f>
        <v>22760430.939999998</v>
      </c>
      <c r="BO64" s="14">
        <f t="shared" si="64"/>
        <v>0.10483400850585446</v>
      </c>
      <c r="BP64" s="10">
        <f>+'SECURED LOANS'!BB43+'RETAIL CREDIT'!BP62+'UNSECURED LOANS'!BQ62+'CAR FINANCE'!BN62</f>
        <v>3294</v>
      </c>
      <c r="BQ64" s="14">
        <f t="shared" si="65"/>
        <v>0.056645629481866175</v>
      </c>
      <c r="BR64" s="56"/>
      <c r="BS64" s="55"/>
      <c r="BT64" s="56"/>
      <c r="BU64" s="9">
        <f>+'SECURED LOANS'!BE43+'RETAIL CREDIT'!BU62+'UNSECURED LOANS'!BV62+'CAR FINANCE'!BS62</f>
        <v>20594527.539999988</v>
      </c>
      <c r="BV64" s="14">
        <f t="shared" si="66"/>
        <v>0.08873690424359314</v>
      </c>
      <c r="BW64" s="10">
        <f>+'SECURED LOANS'!BG43+'RETAIL CREDIT'!BW62+'UNSECURED LOANS'!BX62+'CAR FINANCE'!BU62</f>
        <v>2983</v>
      </c>
      <c r="BX64" s="14">
        <f t="shared" si="67"/>
        <v>0.05342335727205975</v>
      </c>
      <c r="BY64" s="56"/>
      <c r="BZ64" s="55"/>
      <c r="CA64" s="56"/>
      <c r="CB64" s="9">
        <f>+'SECURED LOANS'!BJ43+'RETAIL CREDIT'!CB62+'UNSECURED LOANS'!CC62+'CAR FINANCE'!BZ62</f>
        <v>18143499.99999999</v>
      </c>
      <c r="CC64" s="14">
        <f t="shared" si="68"/>
        <v>0.07792376116739638</v>
      </c>
      <c r="CD64" s="10">
        <f>+'SECURED LOANS'!BL43+'RETAIL CREDIT'!CD62+'UNSECURED LOANS'!CE62+'CAR FINANCE'!CB62</f>
        <v>2629</v>
      </c>
      <c r="CE64" s="14">
        <f t="shared" si="69"/>
        <v>0.04792373035837982</v>
      </c>
      <c r="CF64" s="56"/>
      <c r="CG64" s="55"/>
      <c r="CH64" s="56"/>
      <c r="CI64" s="9">
        <f>+'SECURED LOANS'!BO43+'RETAIL CREDIT'!CI62+'UNSECURED LOANS'!CJ62+'CAR FINANCE'!CG62</f>
        <v>16167934.879999992</v>
      </c>
      <c r="CJ64" s="14">
        <f t="shared" si="70"/>
        <v>0.07233293866052415</v>
      </c>
      <c r="CK64" s="10">
        <f>+'SECURED LOANS'!BQ43+'RETAIL CREDIT'!CK62+'UNSECURED LOANS'!CL62+'CAR FINANCE'!CI62</f>
        <v>2339</v>
      </c>
      <c r="CL64" s="14">
        <f t="shared" si="71"/>
        <v>0.049685614750616024</v>
      </c>
      <c r="CM64" s="56"/>
      <c r="CN64" s="55"/>
      <c r="CO64" s="9">
        <f>+'SECURED LOANS'!BT43+'RETAIL CREDIT'!CP62+'UNSECURED LOANS'!CQ62+'CAR FINANCE'!CN62</f>
        <v>13764485.590000004</v>
      </c>
      <c r="CP64" s="14">
        <f t="shared" si="72"/>
        <v>0.06466106599368915</v>
      </c>
      <c r="CQ64" s="10">
        <f>+'SECURED LOANS'!BV43+'RETAIL CREDIT'!CR62+'UNSECURED LOANS'!CS62+'CAR FINANCE'!CP62</f>
        <v>1996</v>
      </c>
      <c r="CR64" s="14">
        <f t="shared" si="73"/>
        <v>0.04958143925280076</v>
      </c>
      <c r="CS64" s="34"/>
      <c r="CT64" s="34"/>
      <c r="CU64" s="100">
        <f>+'SECURED LOANS'!BY43+'RETAIL CREDIT'!CW62+'UNSECURED LOANS'!CX62+'CAR FINANCE'!CU62</f>
        <v>14687018.519999994</v>
      </c>
      <c r="CV64" s="14">
        <f t="shared" si="74"/>
        <v>0.06104028643309676</v>
      </c>
      <c r="CW64" s="10">
        <f>+'SECURED LOANS'!CA43+'RETAIL CREDIT'!CY62+'UNSECURED LOANS'!CZ62+'CAR FINANCE'!CW62</f>
        <v>2140</v>
      </c>
      <c r="CX64" s="14">
        <f t="shared" si="75"/>
        <v>0.04896464935362087</v>
      </c>
      <c r="CY64" s="34"/>
      <c r="CZ64" s="34"/>
    </row>
    <row r="65" spans="1:104" ht="12.75">
      <c r="A65" s="8" t="s">
        <v>21</v>
      </c>
      <c r="B65" s="8"/>
      <c r="C65" s="8"/>
      <c r="D65" s="9">
        <f>+'SECURED LOANS'!D44+'RETAIL CREDIT'!D63+'UNSECURED LOANS'!D63+'CAR FINANCE'!D63</f>
        <v>18735660.780000027</v>
      </c>
      <c r="E65" s="14">
        <f t="shared" si="76"/>
        <v>0.09193212751101944</v>
      </c>
      <c r="F65" s="10">
        <f>+'SECURED LOANS'!F44+'RETAIL CREDIT'!F63+'UNSECURED LOANS'!F63+'CAR FINANCE'!F63</f>
        <v>2089</v>
      </c>
      <c r="G65" s="14">
        <f t="shared" si="77"/>
        <v>0.020689313657522038</v>
      </c>
      <c r="H65" s="14"/>
      <c r="I65" s="9">
        <v>17151948.11</v>
      </c>
      <c r="J65" s="14">
        <v>0.0982</v>
      </c>
      <c r="K65" s="10">
        <v>1911</v>
      </c>
      <c r="L65" s="14">
        <v>0.0235</v>
      </c>
      <c r="M65" s="56"/>
      <c r="N65" s="55"/>
      <c r="O65" s="56"/>
      <c r="P65" s="9">
        <f>+'SECURED LOANS'!Q44+'RETAIL CREDIT'!Q63+'UNSECURED LOANS'!R63+'CAR FINANCE'!P63</f>
        <v>21852423.569999993</v>
      </c>
      <c r="Q65" s="14">
        <f t="shared" si="78"/>
        <v>0.09712499472464749</v>
      </c>
      <c r="R65" s="10">
        <f>+'SECURED LOANS'!S44+'RETAIL CREDIT'!S63+'UNSECURED LOANS'!T63+'CAR FINANCE'!R63</f>
        <v>2430</v>
      </c>
      <c r="S65" s="14">
        <f t="shared" si="79"/>
        <v>0.027059229647116465</v>
      </c>
      <c r="T65" s="56"/>
      <c r="U65" s="55"/>
      <c r="V65" s="56"/>
      <c r="W65" s="9">
        <f>+'SECURED LOANS'!V44+'RETAIL CREDIT'!X63+'UNSECURED LOANS'!Y63+'CAR FINANCE'!W63</f>
        <v>23808247.050000016</v>
      </c>
      <c r="X65" s="14">
        <f t="shared" si="80"/>
        <v>0.10581782207026642</v>
      </c>
      <c r="Y65" s="10">
        <f>+'SECURED LOANS'!X44+'RETAIL CREDIT'!Z63+'UNSECURED LOANS'!AA63+'CAR FINANCE'!Y63</f>
        <v>2654</v>
      </c>
      <c r="Z65" s="14">
        <f t="shared" si="54"/>
        <v>0.031833229381566956</v>
      </c>
      <c r="AA65" s="56"/>
      <c r="AB65" s="55"/>
      <c r="AC65" s="56"/>
      <c r="AD65" s="34"/>
      <c r="AE65" s="9">
        <f>+'SECURED LOANS'!AA44+'RETAIL CREDIT'!AE63+'UNSECURED LOANS'!AF63+'CAR FINANCE'!AD63</f>
        <v>23649940.58999997</v>
      </c>
      <c r="AF65" s="14">
        <f t="shared" si="55"/>
        <v>0.10177647738484162</v>
      </c>
      <c r="AG65" s="10">
        <f>+'SECURED LOANS'!AC44+'RETAIL CREDIT'!AG63+'UNSECURED LOANS'!AH63+'CAR FINANCE'!AF63</f>
        <v>2645</v>
      </c>
      <c r="AH65" s="14">
        <f t="shared" si="56"/>
        <v>0.03459777632439503</v>
      </c>
      <c r="AI65" s="56"/>
      <c r="AJ65" s="55"/>
      <c r="AK65" s="56"/>
      <c r="AL65" s="9">
        <f>+'SECURED LOANS'!AF44+'RETAIL CREDIT'!AL63+'UNSECURED LOANS'!AM63+'CAR FINANCE'!AK63</f>
        <v>24455679.249999993</v>
      </c>
      <c r="AM65" s="14">
        <f t="shared" si="57"/>
        <v>0.10701400133454894</v>
      </c>
      <c r="AN65" s="10">
        <f>+'SECURED LOANS'!AH44+'RETAIL CREDIT'!AN63+'UNSECURED LOANS'!AO63+'CAR FINANCE'!AM63</f>
        <v>2737</v>
      </c>
      <c r="AO65" s="14">
        <f t="shared" si="58"/>
        <v>0.03688728958611302</v>
      </c>
      <c r="AP65" s="56"/>
      <c r="AQ65" s="55"/>
      <c r="AR65" s="56"/>
      <c r="AS65" s="9">
        <f>+'SECURED LOANS'!AK44+'RETAIL CREDIT'!AS63+'UNSECURED LOANS'!AT63+'CAR FINANCE'!AR63</f>
        <v>24986838.589999985</v>
      </c>
      <c r="AT65" s="14">
        <f t="shared" si="59"/>
        <v>0.11058492328765822</v>
      </c>
      <c r="AU65" s="10">
        <f>+'SECURED LOANS'!AM44+'RETAIL CREDIT'!AU63+'UNSECURED LOANS'!AV63+'CAR FINANCE'!AT63</f>
        <v>2799</v>
      </c>
      <c r="AV65" s="14">
        <f t="shared" si="60"/>
        <v>0.03973650960405457</v>
      </c>
      <c r="AW65" s="56"/>
      <c r="AX65" s="55"/>
      <c r="AY65" s="56"/>
      <c r="AZ65" s="9">
        <f>+'SECURED LOANS'!AP44+'RETAIL CREDIT'!AZ63+'UNSECURED LOANS'!BA63+'CAR FINANCE'!AY63</f>
        <v>24329612.47</v>
      </c>
      <c r="BA65" s="14">
        <f t="shared" si="81"/>
        <v>0.0920974397819239</v>
      </c>
      <c r="BB65" s="10">
        <f>+'SECURED LOANS'!AR44+'RETAIL CREDIT'!BB63+'UNSECURED LOANS'!BC63+'CAR FINANCE'!BA63</f>
        <v>2722</v>
      </c>
      <c r="BC65" s="14">
        <f t="shared" si="61"/>
        <v>0.0369691290116666</v>
      </c>
      <c r="BD65" s="56"/>
      <c r="BE65" s="55"/>
      <c r="BF65" s="56"/>
      <c r="BG65" s="9">
        <f>+'SECURED LOANS'!AU44+'RETAIL CREDIT'!BG63+'UNSECURED LOANS'!BH63+'CAR FINANCE'!BE63</f>
        <v>20848885.809999995</v>
      </c>
      <c r="BH65" s="14">
        <f t="shared" si="62"/>
        <v>0.08811287671651452</v>
      </c>
      <c r="BI65" s="10">
        <f>+'SECURED LOANS'!AW44+'RETAIL CREDIT'!BI63+'UNSECURED LOANS'!BJ63+'CAR FINANCE'!BG63</f>
        <v>2332</v>
      </c>
      <c r="BJ65" s="14">
        <f t="shared" si="63"/>
        <v>0.036134310550536904</v>
      </c>
      <c r="BK65" s="56"/>
      <c r="BL65" s="55"/>
      <c r="BM65" s="56"/>
      <c r="BN65" s="9">
        <f>+'SECURED LOANS'!AZ44+'RETAIL CREDIT'!BN63+'UNSECURED LOANS'!BO63+'CAR FINANCE'!BL63</f>
        <v>17626484.920000017</v>
      </c>
      <c r="BO65" s="14">
        <f t="shared" si="64"/>
        <v>0.08118717413140497</v>
      </c>
      <c r="BP65" s="10">
        <f>+'SECURED LOANS'!BB44+'RETAIL CREDIT'!BP63+'UNSECURED LOANS'!BQ63+'CAR FINANCE'!BN63</f>
        <v>1973</v>
      </c>
      <c r="BQ65" s="14">
        <f t="shared" si="65"/>
        <v>0.033928909219101994</v>
      </c>
      <c r="BR65" s="56"/>
      <c r="BS65" s="55"/>
      <c r="BT65" s="56"/>
      <c r="BU65" s="9">
        <f>+'SECURED LOANS'!BE44+'RETAIL CREDIT'!BU63+'UNSECURED LOANS'!BV63+'CAR FINANCE'!BS63</f>
        <v>15933888.56999999</v>
      </c>
      <c r="BV65" s="14">
        <f t="shared" si="66"/>
        <v>0.06865532319291909</v>
      </c>
      <c r="BW65" s="10">
        <f>+'SECURED LOANS'!BG44+'RETAIL CREDIT'!BW63+'UNSECURED LOANS'!BX63+'CAR FINANCE'!BU63</f>
        <v>1783</v>
      </c>
      <c r="BX65" s="14">
        <f t="shared" si="67"/>
        <v>0.031932231316152374</v>
      </c>
      <c r="BY65" s="56"/>
      <c r="BZ65" s="55"/>
      <c r="CA65" s="56"/>
      <c r="CB65" s="9">
        <f>+'SECURED LOANS'!BJ44+'RETAIL CREDIT'!CB63+'UNSECURED LOANS'!CC63+'CAR FINANCE'!BZ63</f>
        <v>14227161.46</v>
      </c>
      <c r="CC65" s="14">
        <f t="shared" si="68"/>
        <v>0.06110364216931833</v>
      </c>
      <c r="CD65" s="10">
        <f>+'SECURED LOANS'!BL44+'RETAIL CREDIT'!CD63+'UNSECURED LOANS'!CE63+'CAR FINANCE'!CB63</f>
        <v>1595</v>
      </c>
      <c r="CE65" s="14">
        <f t="shared" si="69"/>
        <v>0.029075066535418716</v>
      </c>
      <c r="CF65" s="56"/>
      <c r="CG65" s="55"/>
      <c r="CH65" s="56"/>
      <c r="CI65" s="9">
        <f>+'SECURED LOANS'!BO44+'RETAIL CREDIT'!CI63+'UNSECURED LOANS'!CJ63+'CAR FINANCE'!CG63</f>
        <v>12410628.580000006</v>
      </c>
      <c r="CJ65" s="14">
        <f t="shared" si="70"/>
        <v>0.05552330847931327</v>
      </c>
      <c r="CK65" s="10">
        <f>+'SECURED LOANS'!BQ44+'RETAIL CREDIT'!CK63+'UNSECURED LOANS'!CL63+'CAR FINANCE'!CI63</f>
        <v>1386</v>
      </c>
      <c r="CL65" s="14">
        <f t="shared" si="71"/>
        <v>0.029441753759877645</v>
      </c>
      <c r="CM65" s="56"/>
      <c r="CN65" s="55"/>
      <c r="CO65" s="9">
        <f>+'SECURED LOANS'!BT44+'RETAIL CREDIT'!CP63+'UNSECURED LOANS'!CQ63+'CAR FINANCE'!CN63</f>
        <v>10648930.920000002</v>
      </c>
      <c r="CP65" s="14">
        <f t="shared" si="72"/>
        <v>0.05002520584427862</v>
      </c>
      <c r="CQ65" s="10">
        <f>+'SECURED LOANS'!BV44+'RETAIL CREDIT'!CR63+'UNSECURED LOANS'!CS63+'CAR FINANCE'!CP63</f>
        <v>1182</v>
      </c>
      <c r="CR65" s="14">
        <f t="shared" si="73"/>
        <v>0.029361353305015277</v>
      </c>
      <c r="CS65" s="34"/>
      <c r="CT65" s="34"/>
      <c r="CU65" s="100">
        <f>+'SECURED LOANS'!BY44+'RETAIL CREDIT'!CW63+'UNSECURED LOANS'!CX63+'CAR FINANCE'!CU63</f>
        <v>12279856.049999997</v>
      </c>
      <c r="CV65" s="14">
        <f t="shared" si="74"/>
        <v>0.051035949170247</v>
      </c>
      <c r="CW65" s="10">
        <f>+'SECURED LOANS'!CA44+'RETAIL CREDIT'!CY63+'UNSECURED LOANS'!CZ63+'CAR FINANCE'!CW63</f>
        <v>1367</v>
      </c>
      <c r="CX65" s="14">
        <f t="shared" si="75"/>
        <v>0.03127788582542043</v>
      </c>
      <c r="CY65" s="34"/>
      <c r="CZ65" s="34"/>
    </row>
    <row r="66" spans="1:104" ht="12.75">
      <c r="A66" s="8" t="s">
        <v>22</v>
      </c>
      <c r="B66" s="8"/>
      <c r="C66" s="8"/>
      <c r="D66" s="9">
        <f>+'SECURED LOANS'!D45+'RETAIL CREDIT'!D64+'UNSECURED LOANS'!D64+'CAR FINANCE'!D64</f>
        <v>17859353.400000006</v>
      </c>
      <c r="E66" s="14">
        <f t="shared" si="76"/>
        <v>0.08763226305771943</v>
      </c>
      <c r="F66" s="10">
        <f>+'SECURED LOANS'!F45+'RETAIL CREDIT'!F64+'UNSECURED LOANS'!F64+'CAR FINANCE'!F64</f>
        <v>1631</v>
      </c>
      <c r="G66" s="14">
        <f t="shared" si="77"/>
        <v>0.01615331286520749</v>
      </c>
      <c r="H66" s="14"/>
      <c r="I66" s="9">
        <v>16515750.5</v>
      </c>
      <c r="J66" s="14">
        <v>0.0945</v>
      </c>
      <c r="K66" s="10">
        <v>1509</v>
      </c>
      <c r="L66" s="14">
        <v>0.0185</v>
      </c>
      <c r="M66" s="56"/>
      <c r="N66" s="55"/>
      <c r="O66" s="56"/>
      <c r="P66" s="9">
        <f>+'SECURED LOANS'!Q45+'RETAIL CREDIT'!Q64+'UNSECURED LOANS'!R64+'CAR FINANCE'!P64</f>
        <v>20240765.849999987</v>
      </c>
      <c r="Q66" s="14">
        <f t="shared" si="78"/>
        <v>0.08996184199463027</v>
      </c>
      <c r="R66" s="10">
        <f>+'SECURED LOANS'!S45+'RETAIL CREDIT'!S64+'UNSECURED LOANS'!T64+'CAR FINANCE'!R64</f>
        <v>1847</v>
      </c>
      <c r="S66" s="14">
        <f t="shared" si="79"/>
        <v>0.02056724162889881</v>
      </c>
      <c r="T66" s="56"/>
      <c r="U66" s="55"/>
      <c r="V66" s="56"/>
      <c r="W66" s="9">
        <f>+'SECURED LOANS'!V45+'RETAIL CREDIT'!X64+'UNSECURED LOANS'!Y64+'CAR FINANCE'!W64</f>
        <v>20980114.199999977</v>
      </c>
      <c r="X66" s="14">
        <f t="shared" si="80"/>
        <v>0.09324793995824511</v>
      </c>
      <c r="Y66" s="10">
        <f>+'SECURED LOANS'!X45+'RETAIL CREDIT'!Z64+'UNSECURED LOANS'!AA64+'CAR FINANCE'!Y64</f>
        <v>1916</v>
      </c>
      <c r="Z66" s="14">
        <f t="shared" si="54"/>
        <v>0.022981336659789856</v>
      </c>
      <c r="AA66" s="56"/>
      <c r="AB66" s="55"/>
      <c r="AC66" s="56"/>
      <c r="AD66" s="34"/>
      <c r="AE66" s="9">
        <f>+'SECURED LOANS'!AA45+'RETAIL CREDIT'!AE64+'UNSECURED LOANS'!AF64+'CAR FINANCE'!AD64</f>
        <v>20676374.96999998</v>
      </c>
      <c r="AF66" s="14">
        <f t="shared" si="55"/>
        <v>0.08897986874540013</v>
      </c>
      <c r="AG66" s="10">
        <f>+'SECURED LOANS'!AC45+'RETAIL CREDIT'!AG64+'UNSECURED LOANS'!AH64+'CAR FINANCE'!AF64</f>
        <v>1896</v>
      </c>
      <c r="AH66" s="14">
        <f t="shared" si="56"/>
        <v>0.024800523217789406</v>
      </c>
      <c r="AI66" s="56"/>
      <c r="AJ66" s="55"/>
      <c r="AK66" s="56"/>
      <c r="AL66" s="9">
        <f>+'SECURED LOANS'!AF45+'RETAIL CREDIT'!AL64+'UNSECURED LOANS'!AM64+'CAR FINANCE'!AK64</f>
        <v>19501055.210000023</v>
      </c>
      <c r="AM66" s="14">
        <f t="shared" si="57"/>
        <v>0.0853333872649665</v>
      </c>
      <c r="AN66" s="10">
        <f>+'SECURED LOANS'!AH45+'RETAIL CREDIT'!AN64+'UNSECURED LOANS'!AO64+'CAR FINANCE'!AM64</f>
        <v>1788</v>
      </c>
      <c r="AO66" s="14">
        <f t="shared" si="58"/>
        <v>0.024097359802692758</v>
      </c>
      <c r="AP66" s="56"/>
      <c r="AQ66" s="55"/>
      <c r="AR66" s="56"/>
      <c r="AS66" s="9">
        <f>+'SECURED LOANS'!AK45+'RETAIL CREDIT'!AS64+'UNSECURED LOANS'!AT64+'CAR FINANCE'!AR64</f>
        <v>18884359.00999999</v>
      </c>
      <c r="AT66" s="14">
        <f t="shared" si="59"/>
        <v>0.08357701535292335</v>
      </c>
      <c r="AU66" s="10">
        <f>+'SECURED LOANS'!AM45+'RETAIL CREDIT'!AU64+'UNSECURED LOANS'!AV64+'CAR FINANCE'!AT64</f>
        <v>1730</v>
      </c>
      <c r="AV66" s="14">
        <f t="shared" si="60"/>
        <v>0.024560257811723617</v>
      </c>
      <c r="AW66" s="56"/>
      <c r="AX66" s="55"/>
      <c r="AY66" s="56"/>
      <c r="AZ66" s="9">
        <f>+'SECURED LOANS'!AP45+'RETAIL CREDIT'!AZ64+'UNSECURED LOANS'!BA64+'CAR FINANCE'!AY64</f>
        <v>19452303.959999993</v>
      </c>
      <c r="BA66" s="14">
        <f t="shared" si="81"/>
        <v>0.07363485114219658</v>
      </c>
      <c r="BB66" s="10">
        <f>+'SECURED LOANS'!AR45+'RETAIL CREDIT'!BB64+'UNSECURED LOANS'!BC64+'CAR FINANCE'!BA64</f>
        <v>1780</v>
      </c>
      <c r="BC66" s="14">
        <f t="shared" si="61"/>
        <v>0.024175257031876028</v>
      </c>
      <c r="BD66" s="56"/>
      <c r="BE66" s="55"/>
      <c r="BF66" s="56"/>
      <c r="BG66" s="9">
        <f>+'SECURED LOANS'!AU45+'RETAIL CREDIT'!BG64+'UNSECURED LOANS'!BH64+'CAR FINANCE'!BE64</f>
        <v>16786519.590000004</v>
      </c>
      <c r="BH66" s="14">
        <f t="shared" si="62"/>
        <v>0.07094424827362161</v>
      </c>
      <c r="BI66" s="10">
        <f>+'SECURED LOANS'!AW45+'RETAIL CREDIT'!BI64+'UNSECURED LOANS'!BJ64+'CAR FINANCE'!BG64</f>
        <v>1540</v>
      </c>
      <c r="BJ66" s="14">
        <f t="shared" si="63"/>
        <v>0.02386228055224135</v>
      </c>
      <c r="BK66" s="56"/>
      <c r="BL66" s="55"/>
      <c r="BM66" s="56"/>
      <c r="BN66" s="9">
        <f>+'SECURED LOANS'!AZ45+'RETAIL CREDIT'!BN64+'UNSECURED LOANS'!BO64+'CAR FINANCE'!BL64</f>
        <v>14419856.050000006</v>
      </c>
      <c r="BO66" s="14">
        <f t="shared" si="64"/>
        <v>0.06641751712803455</v>
      </c>
      <c r="BP66" s="10">
        <f>+'SECURED LOANS'!BB45+'RETAIL CREDIT'!BP64+'UNSECURED LOANS'!BQ64+'CAR FINANCE'!BN64</f>
        <v>1324</v>
      </c>
      <c r="BQ66" s="14">
        <f t="shared" si="65"/>
        <v>0.0227683100892504</v>
      </c>
      <c r="BR66" s="56"/>
      <c r="BS66" s="55"/>
      <c r="BT66" s="56"/>
      <c r="BU66" s="9">
        <f>+'SECURED LOANS'!BE45+'RETAIL CREDIT'!BU64+'UNSECURED LOANS'!BV64+'CAR FINANCE'!BS64</f>
        <v>13836981.619999997</v>
      </c>
      <c r="BV66" s="14">
        <f t="shared" si="66"/>
        <v>0.059620251576516556</v>
      </c>
      <c r="BW66" s="10">
        <f>+'SECURED LOANS'!BG45+'RETAIL CREDIT'!BW64+'UNSECURED LOANS'!BX64+'CAR FINANCE'!BU64</f>
        <v>1264</v>
      </c>
      <c r="BX66" s="14">
        <f t="shared" si="67"/>
        <v>0.022637319340222433</v>
      </c>
      <c r="BY66" s="56"/>
      <c r="BZ66" s="55"/>
      <c r="CA66" s="56"/>
      <c r="CB66" s="9">
        <f>+'SECURED LOANS'!BJ45+'RETAIL CREDIT'!CB64+'UNSECURED LOANS'!CC64+'CAR FINANCE'!BZ64</f>
        <v>12793884.089999996</v>
      </c>
      <c r="CC66" s="14">
        <f t="shared" si="68"/>
        <v>0.05494791899206397</v>
      </c>
      <c r="CD66" s="10">
        <f>+'SECURED LOANS'!BL45+'RETAIL CREDIT'!CD64+'UNSECURED LOANS'!CE64+'CAR FINANCE'!CB64</f>
        <v>1172</v>
      </c>
      <c r="CE66" s="14">
        <f t="shared" si="69"/>
        <v>0.021364249516934632</v>
      </c>
      <c r="CF66" s="56"/>
      <c r="CG66" s="55"/>
      <c r="CH66" s="56"/>
      <c r="CI66" s="9">
        <f>+'SECURED LOANS'!BO45+'RETAIL CREDIT'!CI64+'UNSECURED LOANS'!CJ64+'CAR FINANCE'!CG64</f>
        <v>11855697.829999998</v>
      </c>
      <c r="CJ66" s="14">
        <f t="shared" si="70"/>
        <v>0.05304063074721511</v>
      </c>
      <c r="CK66" s="10">
        <f>+'SECURED LOANS'!BQ45+'RETAIL CREDIT'!CK64+'UNSECURED LOANS'!CL64+'CAR FINANCE'!CI64</f>
        <v>1085</v>
      </c>
      <c r="CL66" s="14">
        <f t="shared" si="71"/>
        <v>0.023047837539298156</v>
      </c>
      <c r="CM66" s="56"/>
      <c r="CN66" s="55"/>
      <c r="CO66" s="9">
        <f>+'SECURED LOANS'!BT45+'RETAIL CREDIT'!CP64+'UNSECURED LOANS'!CQ64+'CAR FINANCE'!CN64</f>
        <v>10776160.4</v>
      </c>
      <c r="CP66" s="14">
        <f t="shared" si="72"/>
        <v>0.050622888463714794</v>
      </c>
      <c r="CQ66" s="10">
        <f>+'SECURED LOANS'!BV45+'RETAIL CREDIT'!CR64+'UNSECURED LOANS'!CS64+'CAR FINANCE'!CP64</f>
        <v>986</v>
      </c>
      <c r="CR66" s="14">
        <f t="shared" si="73"/>
        <v>0.02449263482127332</v>
      </c>
      <c r="CS66" s="34"/>
      <c r="CT66" s="34"/>
      <c r="CU66" s="100">
        <f>+'SECURED LOANS'!BY45+'RETAIL CREDIT'!CW64+'UNSECURED LOANS'!CX64+'CAR FINANCE'!CU64</f>
        <v>11348178.71</v>
      </c>
      <c r="CV66" s="14">
        <f t="shared" si="74"/>
        <v>0.0471638323332332</v>
      </c>
      <c r="CW66" s="10">
        <f>+'SECURED LOANS'!CA45+'RETAIL CREDIT'!CY64+'UNSECURED LOANS'!CZ64+'CAR FINANCE'!CW64</f>
        <v>1038</v>
      </c>
      <c r="CX66" s="14">
        <f t="shared" si="75"/>
        <v>0.023750143004232924</v>
      </c>
      <c r="CY66" s="34"/>
      <c r="CZ66" s="34"/>
    </row>
    <row r="67" spans="1:104" ht="12.75">
      <c r="A67" s="8" t="s">
        <v>23</v>
      </c>
      <c r="B67" s="8"/>
      <c r="C67" s="8"/>
      <c r="D67" s="9">
        <f>+'SECURED LOANS'!D46+'RETAIL CREDIT'!D65+'UNSECURED LOANS'!D65+'CAR FINANCE'!D65</f>
        <v>15086025.469999969</v>
      </c>
      <c r="E67" s="14">
        <f t="shared" si="76"/>
        <v>0.07402409946613701</v>
      </c>
      <c r="F67" s="10">
        <f>+'SECURED LOANS'!F46+'RETAIL CREDIT'!F65+'UNSECURED LOANS'!F65+'CAR FINANCE'!F65</f>
        <v>1168</v>
      </c>
      <c r="G67" s="14">
        <f t="shared" si="77"/>
        <v>0.011567792413588195</v>
      </c>
      <c r="H67" s="14"/>
      <c r="I67" s="9">
        <v>12929992.8</v>
      </c>
      <c r="J67" s="14">
        <v>0.074</v>
      </c>
      <c r="K67" s="10">
        <v>1003</v>
      </c>
      <c r="L67" s="14">
        <v>0.0123</v>
      </c>
      <c r="M67" s="56"/>
      <c r="N67" s="55"/>
      <c r="O67" s="56"/>
      <c r="P67" s="9">
        <f>+'SECURED LOANS'!Q46+'RETAIL CREDIT'!Q65+'UNSECURED LOANS'!R65+'CAR FINANCE'!P65</f>
        <v>14392054.279999996</v>
      </c>
      <c r="Q67" s="14">
        <f t="shared" si="78"/>
        <v>0.06396673538494112</v>
      </c>
      <c r="R67" s="10">
        <f>+'SECURED LOANS'!S46+'RETAIL CREDIT'!S65+'UNSECURED LOANS'!T65+'CAR FINANCE'!R65</f>
        <v>1118</v>
      </c>
      <c r="S67" s="14">
        <f t="shared" si="79"/>
        <v>0.012449472734763873</v>
      </c>
      <c r="T67" s="56"/>
      <c r="U67" s="55"/>
      <c r="V67" s="56"/>
      <c r="W67" s="9">
        <f>+'SECURED LOANS'!V46+'RETAIL CREDIT'!X65+'UNSECURED LOANS'!Y65+'CAR FINANCE'!W65</f>
        <v>14895878.460000003</v>
      </c>
      <c r="X67" s="14">
        <f t="shared" si="80"/>
        <v>0.06620602571664735</v>
      </c>
      <c r="Y67" s="10">
        <f>+'SECURED LOANS'!X46+'RETAIL CREDIT'!Z65+'UNSECURED LOANS'!AA65+'CAR FINANCE'!Y65</f>
        <v>1152</v>
      </c>
      <c r="Z67" s="14">
        <f t="shared" si="54"/>
        <v>0.013817588638871564</v>
      </c>
      <c r="AA67" s="56"/>
      <c r="AB67" s="55"/>
      <c r="AC67" s="56"/>
      <c r="AD67" s="34"/>
      <c r="AE67" s="9">
        <f>+'SECURED LOANS'!AA46+'RETAIL CREDIT'!AE65+'UNSECURED LOANS'!AF65+'CAR FINANCE'!AD65</f>
        <v>14234581.619999997</v>
      </c>
      <c r="AF67" s="14">
        <f t="shared" si="55"/>
        <v>0.06125789486943543</v>
      </c>
      <c r="AG67" s="10">
        <f>+'SECURED LOANS'!AC46+'RETAIL CREDIT'!AG65+'UNSECURED LOANS'!AH65+'CAR FINANCE'!AF65</f>
        <v>1103</v>
      </c>
      <c r="AH67" s="14">
        <f t="shared" si="56"/>
        <v>0.014427730542838456</v>
      </c>
      <c r="AI67" s="56"/>
      <c r="AJ67" s="55"/>
      <c r="AK67" s="56"/>
      <c r="AL67" s="9">
        <f>+'SECURED LOANS'!AF46+'RETAIL CREDIT'!AL65+'UNSECURED LOANS'!AM65+'CAR FINANCE'!AK65</f>
        <v>13996195.34</v>
      </c>
      <c r="AM67" s="14">
        <f t="shared" si="57"/>
        <v>0.06124503234942322</v>
      </c>
      <c r="AN67" s="10">
        <f>+'SECURED LOANS'!AH46+'RETAIL CREDIT'!AN65+'UNSECURED LOANS'!AO65+'CAR FINANCE'!AM65</f>
        <v>1083</v>
      </c>
      <c r="AO67" s="14">
        <f t="shared" si="58"/>
        <v>0.014595884041563903</v>
      </c>
      <c r="AP67" s="56"/>
      <c r="AQ67" s="55"/>
      <c r="AR67" s="56"/>
      <c r="AS67" s="9">
        <f>+'SECURED LOANS'!AK46+'RETAIL CREDIT'!AS65+'UNSECURED LOANS'!AT65+'CAR FINANCE'!AR65</f>
        <v>13726800.180000005</v>
      </c>
      <c r="AT67" s="14">
        <f t="shared" si="59"/>
        <v>0.060751068584475716</v>
      </c>
      <c r="AU67" s="10">
        <f>+'SECURED LOANS'!AM46+'RETAIL CREDIT'!AU65+'UNSECURED LOANS'!AV65+'CAR FINANCE'!AT65</f>
        <v>1059</v>
      </c>
      <c r="AV67" s="14">
        <f t="shared" si="60"/>
        <v>0.015034284984170702</v>
      </c>
      <c r="AW67" s="56"/>
      <c r="AX67" s="55"/>
      <c r="AY67" s="56"/>
      <c r="AZ67" s="9">
        <f>+'SECURED LOANS'!AP46+'RETAIL CREDIT'!AZ65+'UNSECURED LOANS'!BA65+'CAR FINANCE'!AY65</f>
        <v>14707870.55</v>
      </c>
      <c r="BA67" s="14">
        <f t="shared" si="81"/>
        <v>0.055675248587260265</v>
      </c>
      <c r="BB67" s="10">
        <f>+'SECURED LOANS'!AR46+'RETAIL CREDIT'!BB65+'UNSECURED LOANS'!BC65+'CAR FINANCE'!BA65</f>
        <v>1133</v>
      </c>
      <c r="BC67" s="14">
        <f t="shared" si="61"/>
        <v>0.015387958548941314</v>
      </c>
      <c r="BD67" s="56"/>
      <c r="BE67" s="55"/>
      <c r="BF67" s="56"/>
      <c r="BG67" s="9">
        <f>+'SECURED LOANS'!AU46+'RETAIL CREDIT'!BG65+'UNSECURED LOANS'!BH65+'CAR FINANCE'!BE65</f>
        <v>13453089.590000005</v>
      </c>
      <c r="BH67" s="14">
        <f t="shared" si="62"/>
        <v>0.05685629607752625</v>
      </c>
      <c r="BI67" s="10">
        <f>+'SECURED LOANS'!AW46+'RETAIL CREDIT'!BI65+'UNSECURED LOANS'!BJ65+'CAR FINANCE'!BG65</f>
        <v>1035</v>
      </c>
      <c r="BJ67" s="14">
        <f t="shared" si="63"/>
        <v>0.016037311929590778</v>
      </c>
      <c r="BK67" s="56"/>
      <c r="BL67" s="55"/>
      <c r="BM67" s="56"/>
      <c r="BN67" s="9">
        <f>+'SECURED LOANS'!AZ46+'RETAIL CREDIT'!BN65+'UNSECURED LOANS'!BO65+'CAR FINANCE'!BL65</f>
        <v>12752381.260000005</v>
      </c>
      <c r="BO67" s="14">
        <f t="shared" si="64"/>
        <v>0.05873716754331101</v>
      </c>
      <c r="BP67" s="10">
        <f>+'SECURED LOANS'!BB46+'RETAIL CREDIT'!BP65+'UNSECURED LOANS'!BQ65+'CAR FINANCE'!BN65</f>
        <v>979</v>
      </c>
      <c r="BQ67" s="14">
        <f t="shared" si="65"/>
        <v>0.016835480043335453</v>
      </c>
      <c r="BR67" s="56"/>
      <c r="BS67" s="55"/>
      <c r="BT67" s="56"/>
      <c r="BU67" s="9">
        <f>+'SECURED LOANS'!BE46+'RETAIL CREDIT'!BU65+'UNSECURED LOANS'!BV65+'CAR FINANCE'!BS65</f>
        <v>12514389.240000002</v>
      </c>
      <c r="BV67" s="14">
        <f t="shared" si="66"/>
        <v>0.05392151665048263</v>
      </c>
      <c r="BW67" s="10">
        <f>+'SECURED LOANS'!BG46+'RETAIL CREDIT'!BW65+'UNSECURED LOANS'!BX65+'CAR FINANCE'!BU65</f>
        <v>959</v>
      </c>
      <c r="BX67" s="14">
        <f t="shared" si="67"/>
        <v>0.017174991493095974</v>
      </c>
      <c r="BY67" s="56"/>
      <c r="BZ67" s="55"/>
      <c r="CA67" s="56"/>
      <c r="CB67" s="9">
        <f>+'SECURED LOANS'!BJ46+'RETAIL CREDIT'!CB65+'UNSECURED LOANS'!CC65+'CAR FINANCE'!BZ65</f>
        <v>12873485.270000003</v>
      </c>
      <c r="CC67" s="14">
        <f t="shared" si="68"/>
        <v>0.05528979477892778</v>
      </c>
      <c r="CD67" s="10">
        <f>+'SECURED LOANS'!BL46+'RETAIL CREDIT'!CD65+'UNSECURED LOANS'!CE65+'CAR FINANCE'!CB65</f>
        <v>987</v>
      </c>
      <c r="CE67" s="14">
        <f t="shared" si="69"/>
        <v>0.017991906376462866</v>
      </c>
      <c r="CF67" s="56"/>
      <c r="CG67" s="55"/>
      <c r="CH67" s="56"/>
      <c r="CI67" s="9">
        <f>+'SECURED LOANS'!BO46+'RETAIL CREDIT'!CI65+'UNSECURED LOANS'!CJ65+'CAR FINANCE'!CG65</f>
        <v>12542007.290000008</v>
      </c>
      <c r="CJ67" s="14">
        <f t="shared" si="70"/>
        <v>0.05611107730954801</v>
      </c>
      <c r="CK67" s="10">
        <f>+'SECURED LOANS'!BQ46+'RETAIL CREDIT'!CK65+'UNSECURED LOANS'!CL65+'CAR FINANCE'!CI65</f>
        <v>962</v>
      </c>
      <c r="CL67" s="14">
        <f t="shared" si="71"/>
        <v>0.020435041209958364</v>
      </c>
      <c r="CM67" s="56"/>
      <c r="CN67" s="55"/>
      <c r="CO67" s="9">
        <f>+'SECURED LOANS'!BT46+'RETAIL CREDIT'!CP65+'UNSECURED LOANS'!CQ65+'CAR FINANCE'!CN65</f>
        <v>11957947.67</v>
      </c>
      <c r="CP67" s="14">
        <f t="shared" si="72"/>
        <v>0.05617453978815573</v>
      </c>
      <c r="CQ67" s="10">
        <f>+'SECURED LOANS'!BV46+'RETAIL CREDIT'!CR65+'UNSECURED LOANS'!CS65+'CAR FINANCE'!CP65</f>
        <v>919</v>
      </c>
      <c r="CR67" s="14">
        <f t="shared" si="73"/>
        <v>0.02282832799264724</v>
      </c>
      <c r="CS67" s="34"/>
      <c r="CT67" s="34"/>
      <c r="CU67" s="100">
        <f>+'SECURED LOANS'!BY46+'RETAIL CREDIT'!CW65+'UNSECURED LOANS'!CX65+'CAR FINANCE'!CU65</f>
        <v>12893017.43</v>
      </c>
      <c r="CV67" s="14">
        <f t="shared" si="74"/>
        <v>0.053584291178119206</v>
      </c>
      <c r="CW67" s="10">
        <f>+'SECURED LOANS'!CA46+'RETAIL CREDIT'!CY65+'UNSECURED LOANS'!CZ65+'CAR FINANCE'!CW65</f>
        <v>994</v>
      </c>
      <c r="CX67" s="14">
        <f t="shared" si="75"/>
        <v>0.022743393204438852</v>
      </c>
      <c r="CY67" s="34"/>
      <c r="CZ67" s="34"/>
    </row>
    <row r="68" spans="1:104" ht="12.75">
      <c r="A68" s="8" t="s">
        <v>24</v>
      </c>
      <c r="B68" s="8"/>
      <c r="C68" s="8"/>
      <c r="D68" s="9">
        <f>+'SECURED LOANS'!D47+'RETAIL CREDIT'!D66+'UNSECURED LOANS'!D66+'CAR FINANCE'!D66</f>
        <v>10781736.689999994</v>
      </c>
      <c r="E68" s="14">
        <f t="shared" si="76"/>
        <v>0.05290381822206085</v>
      </c>
      <c r="F68" s="10">
        <f>+'SECURED LOANS'!F47+'RETAIL CREDIT'!F66+'UNSECURED LOANS'!F66+'CAR FINANCE'!F66</f>
        <v>720</v>
      </c>
      <c r="G68" s="14">
        <f t="shared" si="77"/>
        <v>0.0071308309398831335</v>
      </c>
      <c r="H68" s="14"/>
      <c r="I68" s="9">
        <v>9522584.04</v>
      </c>
      <c r="J68" s="14">
        <v>0.0545</v>
      </c>
      <c r="K68" s="10">
        <v>639</v>
      </c>
      <c r="L68" s="14">
        <v>0.0078</v>
      </c>
      <c r="M68" s="56"/>
      <c r="N68" s="55"/>
      <c r="O68" s="56"/>
      <c r="P68" s="9">
        <f>+'SECURED LOANS'!Q47+'RETAIL CREDIT'!Q66+'UNSECURED LOANS'!R66+'CAR FINANCE'!P66</f>
        <v>12629345.929999996</v>
      </c>
      <c r="Q68" s="14">
        <f t="shared" si="78"/>
        <v>0.05613222500917312</v>
      </c>
      <c r="R68" s="10">
        <f>+'SECURED LOANS'!S47+'RETAIL CREDIT'!S66+'UNSECURED LOANS'!T66+'CAR FINANCE'!R66</f>
        <v>849</v>
      </c>
      <c r="S68" s="14">
        <f t="shared" si="79"/>
        <v>0.00945402714831353</v>
      </c>
      <c r="T68" s="56"/>
      <c r="U68" s="55"/>
      <c r="V68" s="56"/>
      <c r="W68" s="9">
        <f>+'SECURED LOANS'!V47+'RETAIL CREDIT'!X66+'UNSECURED LOANS'!Y66+'CAR FINANCE'!W66</f>
        <v>13185307.240000006</v>
      </c>
      <c r="X68" s="14">
        <f t="shared" si="80"/>
        <v>0.0586032433439536</v>
      </c>
      <c r="Y68" s="10">
        <f>+'SECURED LOANS'!X47+'RETAIL CREDIT'!Z66+'UNSECURED LOANS'!AA66+'CAR FINANCE'!Y66</f>
        <v>886</v>
      </c>
      <c r="Z68" s="14">
        <f t="shared" si="54"/>
        <v>0.010627069039965456</v>
      </c>
      <c r="AA68" s="56"/>
      <c r="AB68" s="55"/>
      <c r="AC68" s="56"/>
      <c r="AD68" s="34"/>
      <c r="AE68" s="9">
        <f>+'SECURED LOANS'!AA47+'RETAIL CREDIT'!AE66+'UNSECURED LOANS'!AF66+'CAR FINANCE'!AD66</f>
        <v>13813381.750000011</v>
      </c>
      <c r="AF68" s="14">
        <f t="shared" si="55"/>
        <v>0.05944527978567162</v>
      </c>
      <c r="AG68" s="10">
        <f>+'SECURED LOANS'!AC47+'RETAIL CREDIT'!AG66+'UNSECURED LOANS'!AH66+'CAR FINANCE'!AF66</f>
        <v>929</v>
      </c>
      <c r="AH68" s="14">
        <f t="shared" si="56"/>
        <v>0.012151733158927404</v>
      </c>
      <c r="AI68" s="56"/>
      <c r="AJ68" s="55"/>
      <c r="AK68" s="56"/>
      <c r="AL68" s="9">
        <f>+'SECURED LOANS'!AF47+'RETAIL CREDIT'!AL66+'UNSECURED LOANS'!AM66+'CAR FINANCE'!AK66</f>
        <v>14299463.920000002</v>
      </c>
      <c r="AM68" s="14">
        <f t="shared" si="57"/>
        <v>0.06257208541930868</v>
      </c>
      <c r="AN68" s="10">
        <f>+'SECURED LOANS'!AH47+'RETAIL CREDIT'!AN66+'UNSECURED LOANS'!AO66+'CAR FINANCE'!AM66</f>
        <v>962</v>
      </c>
      <c r="AO68" s="14">
        <f t="shared" si="58"/>
        <v>0.01296513430100136</v>
      </c>
      <c r="AP68" s="56"/>
      <c r="AQ68" s="55"/>
      <c r="AR68" s="56"/>
      <c r="AS68" s="9">
        <f>+'SECURED LOANS'!AK47+'RETAIL CREDIT'!AS66+'UNSECURED LOANS'!AT66+'CAR FINANCE'!AR66</f>
        <v>14399924.579999998</v>
      </c>
      <c r="AT68" s="14">
        <f t="shared" si="59"/>
        <v>0.06373013333766306</v>
      </c>
      <c r="AU68" s="10">
        <f>+'SECURED LOANS'!AM47+'RETAIL CREDIT'!AU66+'UNSECURED LOANS'!AV66+'CAR FINANCE'!AT66</f>
        <v>971</v>
      </c>
      <c r="AV68" s="14">
        <f t="shared" si="60"/>
        <v>0.013784977072360483</v>
      </c>
      <c r="AW68" s="56"/>
      <c r="AX68" s="55"/>
      <c r="AY68" s="56"/>
      <c r="AZ68" s="9">
        <f>+'SECURED LOANS'!AP47+'RETAIL CREDIT'!AZ66+'UNSECURED LOANS'!BA66+'CAR FINANCE'!AY66</f>
        <v>17384008.03999999</v>
      </c>
      <c r="BA68" s="14">
        <f t="shared" si="81"/>
        <v>0.06580551316247005</v>
      </c>
      <c r="BB68" s="10">
        <f>+'SECURED LOANS'!AR47+'RETAIL CREDIT'!BB66+'UNSECURED LOANS'!BC66+'CAR FINANCE'!BA66</f>
        <v>1169</v>
      </c>
      <c r="BC68" s="14">
        <f t="shared" si="61"/>
        <v>0.015876896331608468</v>
      </c>
      <c r="BD68" s="56"/>
      <c r="BE68" s="55"/>
      <c r="BF68" s="56"/>
      <c r="BG68" s="9">
        <f>+'SECURED LOANS'!AU47+'RETAIL CREDIT'!BG66+'UNSECURED LOANS'!BH66+'CAR FINANCE'!BE66</f>
        <v>16215287.770000003</v>
      </c>
      <c r="BH68" s="14">
        <f t="shared" si="62"/>
        <v>0.0685300723128099</v>
      </c>
      <c r="BI68" s="10">
        <f>+'SECURED LOANS'!AW47+'RETAIL CREDIT'!BI66+'UNSECURED LOANS'!BJ66+'CAR FINANCE'!BG66</f>
        <v>1088</v>
      </c>
      <c r="BJ68" s="14">
        <f t="shared" si="63"/>
        <v>0.0168585462602848</v>
      </c>
      <c r="BK68" s="56"/>
      <c r="BL68" s="55"/>
      <c r="BM68" s="56"/>
      <c r="BN68" s="9">
        <f>+'SECURED LOANS'!AZ47+'RETAIL CREDIT'!BN66+'UNSECURED LOANS'!BO66+'CAR FINANCE'!BL66</f>
        <v>14597361</v>
      </c>
      <c r="BO68" s="14">
        <f t="shared" si="64"/>
        <v>0.06723510074440744</v>
      </c>
      <c r="BP68" s="10">
        <f>+'SECURED LOANS'!BB47+'RETAIL CREDIT'!BP66+'UNSECURED LOANS'!BQ66+'CAR FINANCE'!BN66</f>
        <v>978</v>
      </c>
      <c r="BQ68" s="14">
        <f t="shared" si="65"/>
        <v>0.016818283434506715</v>
      </c>
      <c r="BR68" s="56"/>
      <c r="BS68" s="55"/>
      <c r="BT68" s="56"/>
      <c r="BU68" s="9">
        <f>+'SECURED LOANS'!BE47+'RETAIL CREDIT'!BU66+'UNSECURED LOANS'!BV66+'CAR FINANCE'!BS66</f>
        <v>14792297.249999998</v>
      </c>
      <c r="BV68" s="14">
        <f t="shared" si="66"/>
        <v>0.06373647863815071</v>
      </c>
      <c r="BW68" s="10">
        <f>+'SECURED LOANS'!BG47+'RETAIL CREDIT'!BW66+'UNSECURED LOANS'!BX66+'CAR FINANCE'!BU66</f>
        <v>992</v>
      </c>
      <c r="BX68" s="14">
        <f t="shared" si="67"/>
        <v>0.01776599745688343</v>
      </c>
      <c r="BY68" s="56"/>
      <c r="BZ68" s="55"/>
      <c r="CA68" s="56"/>
      <c r="CB68" s="9">
        <f>+'SECURED LOANS'!BJ47+'RETAIL CREDIT'!CB66+'UNSECURED LOANS'!CC66+'CAR FINANCE'!BZ66</f>
        <v>14619597.410000006</v>
      </c>
      <c r="CC68" s="14">
        <f t="shared" si="68"/>
        <v>0.06278909895777153</v>
      </c>
      <c r="CD68" s="10">
        <f>+'SECURED LOANS'!BL47+'RETAIL CREDIT'!CD66+'UNSECURED LOANS'!CE66+'CAR FINANCE'!CB66</f>
        <v>977</v>
      </c>
      <c r="CE68" s="14">
        <f t="shared" si="69"/>
        <v>0.017809617558058988</v>
      </c>
      <c r="CF68" s="56"/>
      <c r="CG68" s="55"/>
      <c r="CH68" s="56"/>
      <c r="CI68" s="9">
        <f>+'SECURED LOANS'!BO47+'RETAIL CREDIT'!CI66+'UNSECURED LOANS'!CJ66+'CAR FINANCE'!CG66</f>
        <v>14244037.370000008</v>
      </c>
      <c r="CJ68" s="14">
        <f t="shared" si="70"/>
        <v>0.06372570702501647</v>
      </c>
      <c r="CK68" s="10">
        <f>+'SECURED LOANS'!BQ47+'RETAIL CREDIT'!CK66+'UNSECURED LOANS'!CL66+'CAR FINANCE'!CI66</f>
        <v>951</v>
      </c>
      <c r="CL68" s="14">
        <f t="shared" si="71"/>
        <v>0.020201376497578385</v>
      </c>
      <c r="CM68" s="56"/>
      <c r="CN68" s="55"/>
      <c r="CO68" s="9">
        <f>+'SECURED LOANS'!BT47+'RETAIL CREDIT'!CP66+'UNSECURED LOANS'!CQ66+'CAR FINANCE'!CN66</f>
        <v>12861590.609999996</v>
      </c>
      <c r="CP68" s="14">
        <f t="shared" si="72"/>
        <v>0.0604195597270426</v>
      </c>
      <c r="CQ68" s="10">
        <f>+'SECURED LOANS'!BV47+'RETAIL CREDIT'!CR66+'UNSECURED LOANS'!CS66+'CAR FINANCE'!CP66</f>
        <v>860</v>
      </c>
      <c r="CR68" s="14">
        <f t="shared" si="73"/>
        <v>0.021362744367439204</v>
      </c>
      <c r="CS68" s="34"/>
      <c r="CT68" s="34"/>
      <c r="CU68" s="100">
        <f>+'SECURED LOANS'!BY47+'RETAIL CREDIT'!CW66+'UNSECURED LOANS'!CX66+'CAR FINANCE'!CU66</f>
        <v>13572470.660000002</v>
      </c>
      <c r="CV68" s="14">
        <f t="shared" si="74"/>
        <v>0.056408146797325774</v>
      </c>
      <c r="CW68" s="10">
        <f>+'SECURED LOANS'!CA47+'RETAIL CREDIT'!CY66+'UNSECURED LOANS'!CZ66+'CAR FINANCE'!CW66</f>
        <v>907</v>
      </c>
      <c r="CX68" s="14">
        <f t="shared" si="75"/>
        <v>0.02075277428211875</v>
      </c>
      <c r="CY68" s="34"/>
      <c r="CZ68" s="34"/>
    </row>
    <row r="69" spans="1:104" ht="12.75">
      <c r="A69" s="8" t="s">
        <v>0</v>
      </c>
      <c r="B69" s="8"/>
      <c r="C69" s="8"/>
      <c r="D69" s="9">
        <f>+'SECURED LOANS'!D48+'RETAIL CREDIT'!D67+'UNSECURED LOANS'!D67+'CAR FINANCE'!D67</f>
        <v>7375572.34</v>
      </c>
      <c r="E69" s="14">
        <f t="shared" si="76"/>
        <v>0.03619045331731433</v>
      </c>
      <c r="F69" s="10">
        <f>+'SECURED LOANS'!F48+'RETAIL CREDIT'!F67+'UNSECURED LOANS'!F67+'CAR FINANCE'!F67</f>
        <v>434</v>
      </c>
      <c r="G69" s="14">
        <f t="shared" si="77"/>
        <v>0.004298306427651778</v>
      </c>
      <c r="H69" s="14"/>
      <c r="I69" s="9">
        <v>6679474.69</v>
      </c>
      <c r="J69" s="14">
        <v>0.0382</v>
      </c>
      <c r="K69" s="10">
        <v>395</v>
      </c>
      <c r="L69" s="14">
        <v>0.0048</v>
      </c>
      <c r="M69" s="56"/>
      <c r="N69" s="55"/>
      <c r="O69" s="56"/>
      <c r="P69" s="9">
        <f>+'SECURED LOANS'!Q48+'RETAIL CREDIT'!Q67+'UNSECURED LOANS'!R67+'CAR FINANCE'!P67</f>
        <v>9291649.03</v>
      </c>
      <c r="Q69" s="14">
        <f t="shared" si="78"/>
        <v>0.041297541214648265</v>
      </c>
      <c r="R69" s="10">
        <f>+'SECURED LOANS'!S48+'RETAIL CREDIT'!S67+'UNSECURED LOANS'!T67+'CAR FINANCE'!R67</f>
        <v>549</v>
      </c>
      <c r="S69" s="14">
        <f t="shared" si="79"/>
        <v>0.006113381512867054</v>
      </c>
      <c r="T69" s="56"/>
      <c r="U69" s="55"/>
      <c r="V69" s="56"/>
      <c r="W69" s="9">
        <f>+'SECURED LOANS'!V48+'RETAIL CREDIT'!X67+'UNSECURED LOANS'!Y67+'CAR FINANCE'!W67</f>
        <v>11600814.649999999</v>
      </c>
      <c r="X69" s="14">
        <f t="shared" si="80"/>
        <v>0.051560828393866956</v>
      </c>
      <c r="Y69" s="10">
        <f>+'SECURED LOANS'!X48+'RETAIL CREDIT'!Z67+'UNSECURED LOANS'!AA67+'CAR FINANCE'!Y67</f>
        <v>687</v>
      </c>
      <c r="Z69" s="14">
        <f t="shared" si="54"/>
        <v>0.008240176558077052</v>
      </c>
      <c r="AA69" s="56"/>
      <c r="AB69" s="55"/>
      <c r="AC69" s="56"/>
      <c r="AD69" s="34"/>
      <c r="AE69" s="9">
        <f>+'SECURED LOANS'!AA48+'RETAIL CREDIT'!AE67+'UNSECURED LOANS'!AF67+'CAR FINANCE'!AD67</f>
        <v>13516284.799999999</v>
      </c>
      <c r="AF69" s="14">
        <f t="shared" si="55"/>
        <v>0.0581667361505317</v>
      </c>
      <c r="AG69" s="10">
        <f>+'SECURED LOANS'!AC48+'RETAIL CREDIT'!AG67+'UNSECURED LOANS'!AH67+'CAR FINANCE'!AF67</f>
        <v>800</v>
      </c>
      <c r="AH69" s="14">
        <f t="shared" si="56"/>
        <v>0.010464355788096796</v>
      </c>
      <c r="AI69" s="56"/>
      <c r="AJ69" s="55"/>
      <c r="AK69" s="56"/>
      <c r="AL69" s="9">
        <f>+'SECURED LOANS'!AF48+'RETAIL CREDIT'!AL67+'UNSECURED LOANS'!AM67+'CAR FINANCE'!AK67</f>
        <v>14131754.599999998</v>
      </c>
      <c r="AM69" s="14">
        <f t="shared" si="57"/>
        <v>0.06183821721590163</v>
      </c>
      <c r="AN69" s="10">
        <f>+'SECURED LOANS'!AH48+'RETAIL CREDIT'!AN67+'UNSECURED LOANS'!AO67+'CAR FINANCE'!AM67</f>
        <v>839</v>
      </c>
      <c r="AO69" s="14">
        <f t="shared" si="58"/>
        <v>0.011307430019272497</v>
      </c>
      <c r="AP69" s="56"/>
      <c r="AQ69" s="55"/>
      <c r="AR69" s="56"/>
      <c r="AS69" s="9">
        <f>+'SECURED LOANS'!AK48+'RETAIL CREDIT'!AS67+'UNSECURED LOANS'!AT67+'CAR FINANCE'!AR67</f>
        <v>14425515.24</v>
      </c>
      <c r="AT69" s="14">
        <f t="shared" si="59"/>
        <v>0.06384339060959794</v>
      </c>
      <c r="AU69" s="10">
        <f>+'SECURED LOANS'!AM48+'RETAIL CREDIT'!AU67+'UNSECURED LOANS'!AV67+'CAR FINANCE'!AT67</f>
        <v>857</v>
      </c>
      <c r="AV69" s="14">
        <f t="shared" si="60"/>
        <v>0.012166555459333608</v>
      </c>
      <c r="AW69" s="56"/>
      <c r="AX69" s="55"/>
      <c r="AY69" s="56"/>
      <c r="AZ69" s="9">
        <f>+'SECURED LOANS'!AP48+'RETAIL CREDIT'!AZ67+'UNSECURED LOANS'!BA67+'CAR FINANCE'!AY67</f>
        <v>17778559.8</v>
      </c>
      <c r="BA69" s="14">
        <f t="shared" si="81"/>
        <v>0.06729905141764198</v>
      </c>
      <c r="BB69" s="10">
        <f>+'SECURED LOANS'!AR48+'RETAIL CREDIT'!BB67+'UNSECURED LOANS'!BC67+'CAR FINANCE'!BA67</f>
        <v>1055</v>
      </c>
      <c r="BC69" s="14">
        <f t="shared" si="61"/>
        <v>0.014328593353162477</v>
      </c>
      <c r="BD69" s="56"/>
      <c r="BE69" s="55"/>
      <c r="BF69" s="56"/>
      <c r="BG69" s="9">
        <f>+'SECURED LOANS'!AU48+'RETAIL CREDIT'!BG67+'UNSECURED LOANS'!BH67+'CAR FINANCE'!BE67</f>
        <v>14707088.270000003</v>
      </c>
      <c r="BH69" s="14">
        <f t="shared" si="62"/>
        <v>0.06215602442274624</v>
      </c>
      <c r="BI69" s="10">
        <f>+'SECURED LOANS'!AW48+'RETAIL CREDIT'!BI67+'UNSECURED LOANS'!BJ67+'CAR FINANCE'!BG67</f>
        <v>876</v>
      </c>
      <c r="BJ69" s="14">
        <f t="shared" si="63"/>
        <v>0.013573608937508716</v>
      </c>
      <c r="BK69" s="56"/>
      <c r="BL69" s="55"/>
      <c r="BM69" s="56"/>
      <c r="BN69" s="9">
        <f>+'SECURED LOANS'!AZ48+'RETAIL CREDIT'!BN67+'UNSECURED LOANS'!BO67+'CAR FINANCE'!BL67</f>
        <v>13129981.890000006</v>
      </c>
      <c r="BO69" s="14">
        <f t="shared" si="64"/>
        <v>0.06047638714603247</v>
      </c>
      <c r="BP69" s="10">
        <f>+'SECURED LOANS'!BB48+'RETAIL CREDIT'!BP67+'UNSECURED LOANS'!BQ67+'CAR FINANCE'!BN67</f>
        <v>783</v>
      </c>
      <c r="BQ69" s="14">
        <f t="shared" si="65"/>
        <v>0.013464944712902615</v>
      </c>
      <c r="BR69" s="56"/>
      <c r="BS69" s="55"/>
      <c r="BT69" s="56"/>
      <c r="BU69" s="9">
        <f>+'SECURED LOANS'!BE48+'RETAIL CREDIT'!BU67+'UNSECURED LOANS'!BV67+'CAR FINANCE'!BS67</f>
        <v>13529841.789999995</v>
      </c>
      <c r="BV69" s="14">
        <f t="shared" si="66"/>
        <v>0.05829685934859737</v>
      </c>
      <c r="BW69" s="10">
        <f>+'SECURED LOANS'!BG48+'RETAIL CREDIT'!BW67+'UNSECURED LOANS'!BX67+'CAR FINANCE'!BU67</f>
        <v>805</v>
      </c>
      <c r="BX69" s="14">
        <f t="shared" si="67"/>
        <v>0.014416963662087863</v>
      </c>
      <c r="BY69" s="56"/>
      <c r="BZ69" s="55"/>
      <c r="CA69" s="56"/>
      <c r="CB69" s="9">
        <f>+'SECURED LOANS'!BJ48+'RETAIL CREDIT'!CB67+'UNSECURED LOANS'!CC67+'CAR FINANCE'!BZ67</f>
        <v>12561065.720000003</v>
      </c>
      <c r="CC69" s="14">
        <f t="shared" si="68"/>
        <v>0.05394799708839257</v>
      </c>
      <c r="CD69" s="10">
        <f>+'SECURED LOANS'!BL48+'RETAIL CREDIT'!CD67+'UNSECURED LOANS'!CE67+'CAR FINANCE'!CB67</f>
        <v>745</v>
      </c>
      <c r="CE69" s="14">
        <f t="shared" si="69"/>
        <v>0.013580516971088993</v>
      </c>
      <c r="CF69" s="56"/>
      <c r="CG69" s="55"/>
      <c r="CH69" s="56"/>
      <c r="CI69" s="9">
        <f>+'SECURED LOANS'!BO48+'RETAIL CREDIT'!CI67+'UNSECURED LOANS'!CJ67+'CAR FINANCE'!CG67</f>
        <v>11774352.209999997</v>
      </c>
      <c r="CJ69" s="14">
        <f t="shared" si="70"/>
        <v>0.052676702528463994</v>
      </c>
      <c r="CK69" s="10">
        <f>+'SECURED LOANS'!BQ48+'RETAIL CREDIT'!CK67+'UNSECURED LOANS'!CL67+'CAR FINANCE'!CI67</f>
        <v>697</v>
      </c>
      <c r="CL69" s="14">
        <f t="shared" si="71"/>
        <v>0.014805845866258816</v>
      </c>
      <c r="CM69" s="56"/>
      <c r="CN69" s="55"/>
      <c r="CO69" s="9">
        <f>+'SECURED LOANS'!BT48+'RETAIL CREDIT'!CP67+'UNSECURED LOANS'!CQ67+'CAR FINANCE'!CN67</f>
        <v>11188992.380000003</v>
      </c>
      <c r="CP69" s="14">
        <f t="shared" si="72"/>
        <v>0.052562238519955104</v>
      </c>
      <c r="CQ69" s="10">
        <f>+'SECURED LOANS'!BV48+'RETAIL CREDIT'!CR67+'UNSECURED LOANS'!CS67+'CAR FINANCE'!CP67</f>
        <v>661</v>
      </c>
      <c r="CR69" s="14">
        <f t="shared" si="73"/>
        <v>0.01641950468241548</v>
      </c>
      <c r="CS69" s="34"/>
      <c r="CT69" s="34"/>
      <c r="CU69" s="100">
        <f>+'SECURED LOANS'!BY48+'RETAIL CREDIT'!CW67+'UNSECURED LOANS'!CX67+'CAR FINANCE'!CU67</f>
        <v>11881514.09</v>
      </c>
      <c r="CV69" s="14">
        <f t="shared" si="74"/>
        <v>0.049380411846343564</v>
      </c>
      <c r="CW69" s="10">
        <f>+'SECURED LOANS'!CA48+'RETAIL CREDIT'!CY67+'UNSECURED LOANS'!CZ67+'CAR FINANCE'!CW67</f>
        <v>701</v>
      </c>
      <c r="CX69" s="14">
        <f t="shared" si="75"/>
        <v>0.01603935476490104</v>
      </c>
      <c r="CY69" s="34"/>
      <c r="CZ69" s="34"/>
    </row>
    <row r="70" spans="1:104" ht="12.75">
      <c r="A70" s="8" t="s">
        <v>1</v>
      </c>
      <c r="B70" s="8"/>
      <c r="C70" s="8"/>
      <c r="D70" s="9">
        <f>+'SECURED LOANS'!D49+'RETAIL CREDIT'!D68+'UNSECURED LOANS'!D68+'CAR FINANCE'!D68</f>
        <v>5058386.72</v>
      </c>
      <c r="E70" s="14">
        <f t="shared" si="76"/>
        <v>0.02482048850070431</v>
      </c>
      <c r="F70" s="10">
        <f>+'SECURED LOANS'!F49+'RETAIL CREDIT'!F68+'UNSECURED LOANS'!F68+'CAR FINANCE'!F68</f>
        <v>265</v>
      </c>
      <c r="G70" s="14">
        <f t="shared" si="77"/>
        <v>0.0026245419431514313</v>
      </c>
      <c r="H70" s="14"/>
      <c r="I70" s="9">
        <v>4989255.03</v>
      </c>
      <c r="J70" s="14">
        <v>0.0286</v>
      </c>
      <c r="K70" s="10">
        <v>261</v>
      </c>
      <c r="L70" s="14">
        <v>0.0032</v>
      </c>
      <c r="M70" s="56"/>
      <c r="N70" s="55"/>
      <c r="O70" s="56"/>
      <c r="P70" s="9">
        <f>+'SECURED LOANS'!Q49+'RETAIL CREDIT'!Q68+'UNSECURED LOANS'!R68+'CAR FINANCE'!P68</f>
        <v>7973291.77</v>
      </c>
      <c r="Q70" s="14">
        <f t="shared" si="78"/>
        <v>0.03543798785606852</v>
      </c>
      <c r="R70" s="10">
        <f>+'SECURED LOANS'!S49+'RETAIL CREDIT'!S68+'UNSECURED LOANS'!T68+'CAR FINANCE'!R68</f>
        <v>417</v>
      </c>
      <c r="S70" s="14">
        <f t="shared" si="79"/>
        <v>0.004643497433270603</v>
      </c>
      <c r="T70" s="56"/>
      <c r="U70" s="55"/>
      <c r="V70" s="56"/>
      <c r="W70" s="9">
        <f>+'SECURED LOANS'!V49+'RETAIL CREDIT'!X68+'UNSECURED LOANS'!Y68+'CAR FINANCE'!W68</f>
        <v>8402014.39</v>
      </c>
      <c r="X70" s="14">
        <f t="shared" si="80"/>
        <v>0.037343482780805466</v>
      </c>
      <c r="Y70" s="10">
        <f>+'SECURED LOANS'!X49+'RETAIL CREDIT'!Z68+'UNSECURED LOANS'!AA68+'CAR FINANCE'!Y68</f>
        <v>441</v>
      </c>
      <c r="Z70" s="14">
        <f t="shared" si="54"/>
        <v>0.005289545650818021</v>
      </c>
      <c r="AA70" s="56"/>
      <c r="AB70" s="55"/>
      <c r="AC70" s="56"/>
      <c r="AD70" s="34"/>
      <c r="AE70" s="9">
        <f>+'SECURED LOANS'!AA49+'RETAIL CREDIT'!AE68+'UNSECURED LOANS'!AF68+'CAR FINANCE'!AD68</f>
        <v>8314938.0200000005</v>
      </c>
      <c r="AF70" s="14">
        <f t="shared" si="55"/>
        <v>0.035782969438270834</v>
      </c>
      <c r="AG70" s="10">
        <f>+'SECURED LOANS'!AC49+'RETAIL CREDIT'!AG68+'UNSECURED LOANS'!AH68+'CAR FINANCE'!AF68</f>
        <v>436</v>
      </c>
      <c r="AH70" s="14">
        <f t="shared" si="56"/>
        <v>0.005703073904512753</v>
      </c>
      <c r="AI70" s="56"/>
      <c r="AJ70" s="55"/>
      <c r="AK70" s="56"/>
      <c r="AL70" s="9">
        <f>+'SECURED LOANS'!AF49+'RETAIL CREDIT'!AL68+'UNSECURED LOANS'!AM68+'CAR FINANCE'!AK68</f>
        <v>7756252.8</v>
      </c>
      <c r="AM70" s="14">
        <f t="shared" si="57"/>
        <v>0.033940077435808666</v>
      </c>
      <c r="AN70" s="10">
        <f>+'SECURED LOANS'!AH49+'RETAIL CREDIT'!AN68+'UNSECURED LOANS'!AO68+'CAR FINANCE'!AM68</f>
        <v>409</v>
      </c>
      <c r="AO70" s="14">
        <f t="shared" si="58"/>
        <v>0.0055122036685130524</v>
      </c>
      <c r="AP70" s="56"/>
      <c r="AQ70" s="55"/>
      <c r="AR70" s="56"/>
      <c r="AS70" s="9">
        <f>+'SECURED LOANS'!AK49+'RETAIL CREDIT'!AS68+'UNSECURED LOANS'!AT68+'CAR FINANCE'!AR68</f>
        <v>6787098.41</v>
      </c>
      <c r="AT70" s="14">
        <f t="shared" si="59"/>
        <v>0.03003784389578664</v>
      </c>
      <c r="AU70" s="10">
        <f>+'SECURED LOANS'!AM49+'RETAIL CREDIT'!AU68+'UNSECURED LOANS'!AV68+'CAR FINANCE'!AT68</f>
        <v>359</v>
      </c>
      <c r="AV70" s="14">
        <f t="shared" si="60"/>
        <v>0.005096608412953052</v>
      </c>
      <c r="AW70" s="56"/>
      <c r="AX70" s="55"/>
      <c r="AY70" s="56"/>
      <c r="AZ70" s="9">
        <f>+'SECURED LOANS'!AP49+'RETAIL CREDIT'!AZ68+'UNSECURED LOANS'!BA68+'CAR FINANCE'!AY68</f>
        <v>7759337.17</v>
      </c>
      <c r="BA70" s="14">
        <f t="shared" si="81"/>
        <v>0.02937223470545969</v>
      </c>
      <c r="BB70" s="10">
        <f>+'SECURED LOANS'!AR49+'RETAIL CREDIT'!BB68+'UNSECURED LOANS'!BC68+'CAR FINANCE'!BA68</f>
        <v>409</v>
      </c>
      <c r="BC70" s="14">
        <f t="shared" si="61"/>
        <v>0.005554876475301851</v>
      </c>
      <c r="BD70" s="56"/>
      <c r="BE70" s="55"/>
      <c r="BF70" s="56"/>
      <c r="BG70" s="9">
        <f>+'SECURED LOANS'!AU49+'RETAIL CREDIT'!BG68+'UNSECURED LOANS'!BH68+'CAR FINANCE'!BE68</f>
        <v>6618178.74</v>
      </c>
      <c r="BH70" s="14">
        <f t="shared" si="62"/>
        <v>0.0279701645795276</v>
      </c>
      <c r="BI70" s="10">
        <f>+'SECURED LOANS'!AW49+'RETAIL CREDIT'!BI68+'UNSECURED LOANS'!BJ68+'CAR FINANCE'!BG68</f>
        <v>350</v>
      </c>
      <c r="BJ70" s="14">
        <f t="shared" si="63"/>
        <v>0.005423245580054852</v>
      </c>
      <c r="BK70" s="56"/>
      <c r="BL70" s="55"/>
      <c r="BM70" s="56"/>
      <c r="BN70" s="9">
        <f>+'SECURED LOANS'!AZ49+'RETAIL CREDIT'!BN68+'UNSECURED LOANS'!BO68+'CAR FINANCE'!BL68</f>
        <v>5824988.75</v>
      </c>
      <c r="BO70" s="14">
        <f t="shared" si="64"/>
        <v>0.026829760902761124</v>
      </c>
      <c r="BP70" s="10">
        <f>+'SECURED LOANS'!BB49+'RETAIL CREDIT'!BP68+'UNSECURED LOANS'!BQ68+'CAR FINANCE'!BN68</f>
        <v>308</v>
      </c>
      <c r="BQ70" s="14">
        <f t="shared" si="65"/>
        <v>0.005296555519251603</v>
      </c>
      <c r="BR70" s="56"/>
      <c r="BS70" s="55"/>
      <c r="BT70" s="56"/>
      <c r="BU70" s="9">
        <f>+'SECURED LOANS'!BE49+'RETAIL CREDIT'!BU68+'UNSECURED LOANS'!BV68+'CAR FINANCE'!BS68</f>
        <v>7142533.029999999</v>
      </c>
      <c r="BV70" s="14">
        <f t="shared" si="66"/>
        <v>0.03077547024610264</v>
      </c>
      <c r="BW70" s="10">
        <f>+'SECURED LOANS'!BG49+'RETAIL CREDIT'!BW68+'UNSECURED LOANS'!BX68+'CAR FINANCE'!BU68</f>
        <v>377</v>
      </c>
      <c r="BX70" s="14">
        <f t="shared" si="67"/>
        <v>0.0067517954044809</v>
      </c>
      <c r="BY70" s="56"/>
      <c r="BZ70" s="55"/>
      <c r="CA70" s="56"/>
      <c r="CB70" s="9">
        <f>+'SECURED LOANS'!BJ49+'RETAIL CREDIT'!CB68+'UNSECURED LOANS'!CC68+'CAR FINANCE'!BZ68</f>
        <v>6638691.67</v>
      </c>
      <c r="CC70" s="14">
        <f t="shared" si="68"/>
        <v>0.028512239874173347</v>
      </c>
      <c r="CD70" s="10">
        <f>+'SECURED LOANS'!BL49+'RETAIL CREDIT'!CD68+'UNSECURED LOANS'!CE68+'CAR FINANCE'!CB68</f>
        <v>351</v>
      </c>
      <c r="CE70" s="14">
        <f t="shared" si="69"/>
        <v>0.006398337525976156</v>
      </c>
      <c r="CF70" s="56"/>
      <c r="CG70" s="55"/>
      <c r="CH70" s="56"/>
      <c r="CI70" s="9">
        <f>+'SECURED LOANS'!BO49+'RETAIL CREDIT'!CI68+'UNSECURED LOANS'!CJ68+'CAR FINANCE'!CG68</f>
        <v>6915294.78</v>
      </c>
      <c r="CJ70" s="14">
        <f t="shared" si="70"/>
        <v>0.030938001473518002</v>
      </c>
      <c r="CK70" s="10">
        <f>+'SECURED LOANS'!BQ49+'RETAIL CREDIT'!CK68+'UNSECURED LOANS'!CL68+'CAR FINANCE'!CI68</f>
        <v>365</v>
      </c>
      <c r="CL70" s="14">
        <f t="shared" si="71"/>
        <v>0.00775342000169938</v>
      </c>
      <c r="CM70" s="56"/>
      <c r="CN70" s="55"/>
      <c r="CO70" s="9">
        <f>+'SECURED LOANS'!BT49+'RETAIL CREDIT'!CP68+'UNSECURED LOANS'!CQ68+'CAR FINANCE'!CN68</f>
        <v>6837574.95</v>
      </c>
      <c r="CP70" s="14">
        <f t="shared" si="72"/>
        <v>0.03212069802303057</v>
      </c>
      <c r="CQ70" s="10">
        <f>+'SECURED LOANS'!BV49+'RETAIL CREDIT'!CR68+'UNSECURED LOANS'!CS68+'CAR FINANCE'!CP68</f>
        <v>360</v>
      </c>
      <c r="CR70" s="14">
        <f t="shared" si="73"/>
        <v>0.008942544153811759</v>
      </c>
      <c r="CS70" s="34"/>
      <c r="CT70" s="34"/>
      <c r="CU70" s="100">
        <f>+'SECURED LOANS'!BY49+'RETAIL CREDIT'!CW68+'UNSECURED LOANS'!CX68+'CAR FINANCE'!CU68</f>
        <v>8021633.85</v>
      </c>
      <c r="CV70" s="14">
        <f t="shared" si="74"/>
        <v>0.03333847691406226</v>
      </c>
      <c r="CW70" s="10">
        <f>+'SECURED LOANS'!CA49+'RETAIL CREDIT'!CY68+'UNSECURED LOANS'!CZ68+'CAR FINANCE'!CW68</f>
        <v>423</v>
      </c>
      <c r="CX70" s="14">
        <f t="shared" si="75"/>
        <v>0.009678526484383937</v>
      </c>
      <c r="CY70" s="34"/>
      <c r="CZ70" s="34"/>
    </row>
    <row r="71" spans="1:104" ht="12.75">
      <c r="A71" s="8" t="s">
        <v>2</v>
      </c>
      <c r="B71" s="8"/>
      <c r="C71" s="8"/>
      <c r="D71" s="9">
        <f>+'SECURED LOANS'!D50+'RETAIL CREDIT'!D69+'UNSECURED LOANS'!D69+'CAR FINANCE'!D69</f>
        <v>6903743.8100000005</v>
      </c>
      <c r="E71" s="14">
        <f t="shared" si="76"/>
        <v>0.033875285408766366</v>
      </c>
      <c r="F71" s="10">
        <f>+'SECURED LOANS'!F50+'RETAIL CREDIT'!F69+'UNSECURED LOANS'!F69+'CAR FINANCE'!F69</f>
        <v>311</v>
      </c>
      <c r="G71" s="14">
        <f t="shared" si="77"/>
        <v>0.0030801228087550757</v>
      </c>
      <c r="H71" s="14"/>
      <c r="I71" s="9">
        <v>6444952.24</v>
      </c>
      <c r="J71" s="14">
        <v>0.0369</v>
      </c>
      <c r="K71" s="10">
        <v>289</v>
      </c>
      <c r="L71" s="14">
        <v>0.0035</v>
      </c>
      <c r="M71" s="56"/>
      <c r="N71" s="55"/>
      <c r="O71" s="56"/>
      <c r="P71" s="9">
        <f>+'SECURED LOANS'!Q50+'RETAIL CREDIT'!Q69+'UNSECURED LOANS'!R69+'CAR FINANCE'!P69</f>
        <v>10950044.840000007</v>
      </c>
      <c r="Q71" s="14">
        <f t="shared" si="78"/>
        <v>0.04866842544548273</v>
      </c>
      <c r="R71" s="10">
        <f>+'SECURED LOANS'!S50+'RETAIL CREDIT'!S69+'UNSECURED LOANS'!T69+'CAR FINANCE'!R69</f>
        <v>484</v>
      </c>
      <c r="S71" s="14">
        <f t="shared" si="79"/>
        <v>0.005389574958520316</v>
      </c>
      <c r="T71" s="56"/>
      <c r="U71" s="55"/>
      <c r="V71" s="56"/>
      <c r="W71" s="9">
        <f>+'SECURED LOANS'!V50+'RETAIL CREDIT'!X69+'UNSECURED LOANS'!Y69+'CAR FINANCE'!W69</f>
        <v>12031645.209999999</v>
      </c>
      <c r="X71" s="14">
        <f t="shared" si="80"/>
        <v>0.05347569224103597</v>
      </c>
      <c r="Y71" s="10">
        <f>+'SECURED LOANS'!X50+'RETAIL CREDIT'!Z69+'UNSECURED LOANS'!AA69+'CAR FINANCE'!Y69</f>
        <v>532</v>
      </c>
      <c r="Z71" s="14">
        <f t="shared" si="54"/>
        <v>0.006381039197812215</v>
      </c>
      <c r="AA71" s="56"/>
      <c r="AB71" s="55"/>
      <c r="AC71" s="56"/>
      <c r="AD71" s="34"/>
      <c r="AE71" s="9">
        <f>+'SECURED LOANS'!AA50+'RETAIL CREDIT'!AE69+'UNSECURED LOANS'!AF69+'CAR FINANCE'!AD69</f>
        <v>11776025.57999999</v>
      </c>
      <c r="AF71" s="14">
        <f t="shared" si="55"/>
        <v>0.050677607267773137</v>
      </c>
      <c r="AG71" s="10">
        <f>+'SECURED LOANS'!AC50+'RETAIL CREDIT'!AG69+'UNSECURED LOANS'!AH69+'CAR FINANCE'!AF69</f>
        <v>521</v>
      </c>
      <c r="AH71" s="14">
        <f t="shared" si="56"/>
        <v>0.006814911706998038</v>
      </c>
      <c r="AI71" s="56"/>
      <c r="AJ71" s="55"/>
      <c r="AK71" s="56"/>
      <c r="AL71" s="9">
        <f>+'SECURED LOANS'!AF50+'RETAIL CREDIT'!AL69+'UNSECURED LOANS'!AM69+'CAR FINANCE'!AK69</f>
        <v>10251974.719999991</v>
      </c>
      <c r="AM71" s="14">
        <f t="shared" si="57"/>
        <v>0.04486094314341489</v>
      </c>
      <c r="AN71" s="10">
        <f>+'SECURED LOANS'!AH50+'RETAIL CREDIT'!AN69+'UNSECURED LOANS'!AO69+'CAR FINANCE'!AM69</f>
        <v>455</v>
      </c>
      <c r="AO71" s="14">
        <f t="shared" si="58"/>
        <v>0.006132158115338481</v>
      </c>
      <c r="AP71" s="56"/>
      <c r="AQ71" s="55"/>
      <c r="AR71" s="56"/>
      <c r="AS71" s="9">
        <f>+'SECURED LOANS'!AK50+'RETAIL CREDIT'!AS69+'UNSECURED LOANS'!AT69+'CAR FINANCE'!AR69</f>
        <v>8947430.05</v>
      </c>
      <c r="AT71" s="14">
        <f t="shared" si="59"/>
        <v>0.039598881712748064</v>
      </c>
      <c r="AU71" s="10">
        <f>+'SECURED LOANS'!AM50+'RETAIL CREDIT'!AU69+'UNSECURED LOANS'!AV69+'CAR FINANCE'!AT69</f>
        <v>398</v>
      </c>
      <c r="AV71" s="14">
        <f t="shared" si="60"/>
        <v>0.005650278964778035</v>
      </c>
      <c r="AW71" s="56"/>
      <c r="AX71" s="55"/>
      <c r="AY71" s="56"/>
      <c r="AZ71" s="9">
        <f>+'SECURED LOANS'!AP50+'RETAIL CREDIT'!AZ69+'UNSECURED LOANS'!BA69+'CAR FINANCE'!AY69</f>
        <v>10945344.05</v>
      </c>
      <c r="BA71" s="14">
        <f t="shared" si="81"/>
        <v>0.04143256148367719</v>
      </c>
      <c r="BB71" s="10">
        <f>+'SECURED LOANS'!AR50+'RETAIL CREDIT'!BB69+'UNSECURED LOANS'!BC69+'CAR FINANCE'!BA69</f>
        <v>484</v>
      </c>
      <c r="BC71" s="14">
        <f t="shared" si="61"/>
        <v>0.006573496855858426</v>
      </c>
      <c r="BD71" s="56"/>
      <c r="BE71" s="55"/>
      <c r="BF71" s="56"/>
      <c r="BG71" s="9">
        <f>+'SECURED LOANS'!AU50+'RETAIL CREDIT'!BG69+'UNSECURED LOANS'!BH69+'CAR FINANCE'!BE69</f>
        <v>10073143.189999998</v>
      </c>
      <c r="BH71" s="14">
        <f t="shared" si="62"/>
        <v>0.04257175333669631</v>
      </c>
      <c r="BI71" s="10">
        <f>+'SECURED LOANS'!AW50+'RETAIL CREDIT'!BI69+'UNSECURED LOANS'!BJ69+'CAR FINANCE'!BG69</f>
        <v>446</v>
      </c>
      <c r="BJ71" s="14">
        <f t="shared" si="63"/>
        <v>0.0069107643677270405</v>
      </c>
      <c r="BK71" s="56"/>
      <c r="BL71" s="55"/>
      <c r="BM71" s="56"/>
      <c r="BN71" s="9">
        <f>+'SECURED LOANS'!AZ50+'RETAIL CREDIT'!BN69+'UNSECURED LOANS'!BO69+'CAR FINANCE'!BL69</f>
        <v>9369533.289999997</v>
      </c>
      <c r="BO71" s="14">
        <f t="shared" si="64"/>
        <v>0.04315584951836357</v>
      </c>
      <c r="BP71" s="10">
        <f>+'SECURED LOANS'!BB50+'RETAIL CREDIT'!BP69+'UNSECURED LOANS'!BQ69+'CAR FINANCE'!BN69</f>
        <v>414</v>
      </c>
      <c r="BQ71" s="14">
        <f t="shared" si="65"/>
        <v>0.007119396055097935</v>
      </c>
      <c r="BR71" s="56"/>
      <c r="BS71" s="55"/>
      <c r="BT71" s="56"/>
      <c r="BU71" s="9">
        <f>+'SECURED LOANS'!BE50+'RETAIL CREDIT'!BU69+'UNSECURED LOANS'!BV69+'CAR FINANCE'!BS69</f>
        <v>12210876.610000007</v>
      </c>
      <c r="BV71" s="14">
        <f t="shared" si="66"/>
        <v>0.052613753161724744</v>
      </c>
      <c r="BW71" s="10">
        <f>+'SECURED LOANS'!BG50+'RETAIL CREDIT'!BW69+'UNSECURED LOANS'!BX69+'CAR FINANCE'!BU69</f>
        <v>538</v>
      </c>
      <c r="BX71" s="14">
        <f t="shared" si="67"/>
        <v>0.009635188136898473</v>
      </c>
      <c r="BY71" s="56"/>
      <c r="BZ71" s="55"/>
      <c r="CA71" s="56"/>
      <c r="CB71" s="9">
        <f>+'SECURED LOANS'!BJ50+'RETAIL CREDIT'!CB69+'UNSECURED LOANS'!CC69+'CAR FINANCE'!BZ69</f>
        <v>13608442.210000003</v>
      </c>
      <c r="CC71" s="14">
        <f t="shared" si="68"/>
        <v>0.058446330676680716</v>
      </c>
      <c r="CD71" s="10">
        <f>+'SECURED LOANS'!BL50+'RETAIL CREDIT'!CD69+'UNSECURED LOANS'!CE69+'CAR FINANCE'!CB69</f>
        <v>602</v>
      </c>
      <c r="CE71" s="14">
        <f t="shared" si="69"/>
        <v>0.010973786867913522</v>
      </c>
      <c r="CF71" s="56"/>
      <c r="CG71" s="55"/>
      <c r="CH71" s="56"/>
      <c r="CI71" s="9">
        <f>+'SECURED LOANS'!BO50+'RETAIL CREDIT'!CI69+'UNSECURED LOANS'!CJ69+'CAR FINANCE'!CG69</f>
        <v>14341199.929999981</v>
      </c>
      <c r="CJ71" s="14">
        <f t="shared" si="70"/>
        <v>0.06416039788348049</v>
      </c>
      <c r="CK71" s="10">
        <f>+'SECURED LOANS'!BQ50+'RETAIL CREDIT'!CK69+'UNSECURED LOANS'!CL69+'CAR FINANCE'!CI69</f>
        <v>634</v>
      </c>
      <c r="CL71" s="14">
        <f t="shared" si="71"/>
        <v>0.013467584331718923</v>
      </c>
      <c r="CM71" s="56"/>
      <c r="CN71" s="55"/>
      <c r="CO71" s="9">
        <f>+'SECURED LOANS'!BT50+'RETAIL CREDIT'!CP69+'UNSECURED LOANS'!CQ69+'CAR FINANCE'!CN69</f>
        <v>14753675.060000006</v>
      </c>
      <c r="CP71" s="14">
        <f t="shared" si="72"/>
        <v>0.06930795564181384</v>
      </c>
      <c r="CQ71" s="10">
        <f>+'SECURED LOANS'!BV50+'RETAIL CREDIT'!CR69+'UNSECURED LOANS'!CS69+'CAR FINANCE'!CP69</f>
        <v>652</v>
      </c>
      <c r="CR71" s="14">
        <f t="shared" si="73"/>
        <v>0.016195941078570187</v>
      </c>
      <c r="CS71" s="34"/>
      <c r="CT71" s="34"/>
      <c r="CU71" s="100">
        <f>+'SECURED LOANS'!BY50+'RETAIL CREDIT'!CW69+'UNSECURED LOANS'!CX69+'CAR FINANCE'!CU69</f>
        <v>17004987.38</v>
      </c>
      <c r="CV71" s="14">
        <f t="shared" si="74"/>
        <v>0.07067392875231399</v>
      </c>
      <c r="CW71" s="10">
        <f>+'SECURED LOANS'!CA50+'RETAIL CREDIT'!CY69+'UNSECURED LOANS'!CZ69+'CAR FINANCE'!CW69</f>
        <v>752</v>
      </c>
      <c r="CX71" s="14">
        <f t="shared" si="75"/>
        <v>0.017206269305571446</v>
      </c>
      <c r="CY71" s="34"/>
      <c r="CZ71" s="34"/>
    </row>
    <row r="72" spans="1:104" ht="12.75">
      <c r="A72" s="8" t="s">
        <v>3</v>
      </c>
      <c r="B72" s="8"/>
      <c r="C72" s="8"/>
      <c r="D72" s="9">
        <f>+'SECURED LOANS'!D51+'RETAIL CREDIT'!D70+'UNSECURED LOANS'!D70+'CAR FINANCE'!D70</f>
        <v>3705808.96</v>
      </c>
      <c r="E72" s="14">
        <f t="shared" si="76"/>
        <v>0.01818366087231207</v>
      </c>
      <c r="F72" s="10">
        <f>+'SECURED LOANS'!F51+'RETAIL CREDIT'!F70+'UNSECURED LOANS'!F70+'CAR FINANCE'!F70</f>
        <v>136</v>
      </c>
      <c r="G72" s="14">
        <f t="shared" si="77"/>
        <v>0.0013469347330890362</v>
      </c>
      <c r="H72" s="14"/>
      <c r="I72" s="9">
        <v>2981712.1</v>
      </c>
      <c r="J72" s="14">
        <v>0.0171</v>
      </c>
      <c r="K72" s="10">
        <v>109</v>
      </c>
      <c r="L72" s="14">
        <v>0.0013</v>
      </c>
      <c r="M72" s="56"/>
      <c r="N72" s="55"/>
      <c r="O72" s="56"/>
      <c r="P72" s="9">
        <f>+'SECURED LOANS'!Q51+'RETAIL CREDIT'!Q70+'UNSECURED LOANS'!R70+'CAR FINANCE'!P70</f>
        <v>6927458.139999999</v>
      </c>
      <c r="Q72" s="14">
        <f t="shared" si="78"/>
        <v>0.030789689443252742</v>
      </c>
      <c r="R72" s="10">
        <f>+'SECURED LOANS'!S51+'RETAIL CREDIT'!S70+'UNSECURED LOANS'!T70+'CAR FINANCE'!R70</f>
        <v>251</v>
      </c>
      <c r="S72" s="14">
        <f t="shared" si="79"/>
        <v>0.0027950068483235525</v>
      </c>
      <c r="T72" s="56"/>
      <c r="U72" s="55"/>
      <c r="V72" s="56"/>
      <c r="W72" s="9">
        <f>+'SECURED LOANS'!V51+'RETAIL CREDIT'!X70+'UNSECURED LOANS'!Y70+'CAR FINANCE'!W70</f>
        <v>7930110.160000001</v>
      </c>
      <c r="X72" s="14">
        <f t="shared" si="80"/>
        <v>0.03524606343953792</v>
      </c>
      <c r="Y72" s="10">
        <f>+'SECURED LOANS'!X51+'RETAIL CREDIT'!Z70+'UNSECURED LOANS'!AA70+'CAR FINANCE'!Y70</f>
        <v>287</v>
      </c>
      <c r="Z72" s="14">
        <f t="shared" si="54"/>
        <v>0.003442402725135537</v>
      </c>
      <c r="AA72" s="56"/>
      <c r="AB72" s="55"/>
      <c r="AC72" s="56"/>
      <c r="AD72" s="34"/>
      <c r="AE72" s="9">
        <f>+'SECURED LOANS'!AA51+'RETAIL CREDIT'!AE70+'UNSECURED LOANS'!AF70+'CAR FINANCE'!AD70</f>
        <v>8256813.780000001</v>
      </c>
      <c r="AF72" s="14">
        <f t="shared" si="55"/>
        <v>0.035532834332207504</v>
      </c>
      <c r="AG72" s="10">
        <f>+'SECURED LOANS'!AC51+'RETAIL CREDIT'!AG70+'UNSECURED LOANS'!AH70+'CAR FINANCE'!AF70</f>
        <v>298</v>
      </c>
      <c r="AH72" s="14">
        <f t="shared" si="56"/>
        <v>0.003897972531066056</v>
      </c>
      <c r="AI72" s="56"/>
      <c r="AJ72" s="55"/>
      <c r="AK72" s="56"/>
      <c r="AL72" s="9">
        <f>+'SECURED LOANS'!AF51+'RETAIL CREDIT'!AL70+'UNSECURED LOANS'!AM70+'CAR FINANCE'!AK70</f>
        <v>7202756.759999999</v>
      </c>
      <c r="AM72" s="14">
        <f t="shared" si="57"/>
        <v>0.031518070450939184</v>
      </c>
      <c r="AN72" s="10">
        <f>+'SECURED LOANS'!AH51+'RETAIL CREDIT'!AN70+'UNSECURED LOANS'!AO70+'CAR FINANCE'!AM70</f>
        <v>261</v>
      </c>
      <c r="AO72" s="14">
        <f t="shared" si="58"/>
        <v>0.003517567622205151</v>
      </c>
      <c r="AP72" s="56"/>
      <c r="AQ72" s="55"/>
      <c r="AR72" s="56"/>
      <c r="AS72" s="9">
        <f>+'SECURED LOANS'!AK51+'RETAIL CREDIT'!AS70+'UNSECURED LOANS'!AT70+'CAR FINANCE'!AR70</f>
        <v>6113220.96</v>
      </c>
      <c r="AT72" s="14">
        <f t="shared" si="59"/>
        <v>0.02705544634896946</v>
      </c>
      <c r="AU72" s="10">
        <f>+'SECURED LOANS'!AM51+'RETAIL CREDIT'!AU70+'UNSECURED LOANS'!AV70+'CAR FINANCE'!AT70</f>
        <v>222</v>
      </c>
      <c r="AV72" s="14">
        <f t="shared" si="60"/>
        <v>0.003151663141157597</v>
      </c>
      <c r="AW72" s="56"/>
      <c r="AX72" s="55"/>
      <c r="AY72" s="56"/>
      <c r="AZ72" s="9">
        <f>+'SECURED LOANS'!AP51+'RETAIL CREDIT'!AZ70+'UNSECURED LOANS'!BA70+'CAR FINANCE'!AY70</f>
        <v>10282808.940000005</v>
      </c>
      <c r="BA72" s="14">
        <f t="shared" si="81"/>
        <v>0.03892459768146399</v>
      </c>
      <c r="BB72" s="10">
        <f>+'SECURED LOANS'!AR51+'RETAIL CREDIT'!BB70+'UNSECURED LOANS'!BC70+'CAR FINANCE'!BA70</f>
        <v>372</v>
      </c>
      <c r="BC72" s="14">
        <f t="shared" si="61"/>
        <v>0.005052357087560608</v>
      </c>
      <c r="BD72" s="56"/>
      <c r="BE72" s="55"/>
      <c r="BF72" s="56"/>
      <c r="BG72" s="9">
        <f>+'SECURED LOANS'!AU51+'RETAIL CREDIT'!BG70+'UNSECURED LOANS'!BH70+'CAR FINANCE'!BE70</f>
        <v>9128496.620000001</v>
      </c>
      <c r="BH72" s="14">
        <f t="shared" si="62"/>
        <v>0.03857942839800991</v>
      </c>
      <c r="BI72" s="10">
        <f>+'SECURED LOANS'!AW51+'RETAIL CREDIT'!BI70+'UNSECURED LOANS'!BJ70+'CAR FINANCE'!BG70</f>
        <v>331</v>
      </c>
      <c r="BJ72" s="14">
        <f t="shared" si="63"/>
        <v>0.005128840819994732</v>
      </c>
      <c r="BK72" s="56"/>
      <c r="BL72" s="55"/>
      <c r="BM72" s="56"/>
      <c r="BN72" s="9">
        <f>+'SECURED LOANS'!AZ51+'RETAIL CREDIT'!BN70+'UNSECURED LOANS'!BO70+'CAR FINANCE'!BL70</f>
        <v>8604557.829999998</v>
      </c>
      <c r="BO72" s="14">
        <f t="shared" si="64"/>
        <v>0.03963239057807297</v>
      </c>
      <c r="BP72" s="10">
        <f>+'SECURED LOANS'!BB51+'RETAIL CREDIT'!BP70+'UNSECURED LOANS'!BQ70+'CAR FINANCE'!BN70</f>
        <v>312</v>
      </c>
      <c r="BQ72" s="14">
        <f t="shared" si="65"/>
        <v>0.0053653419545665595</v>
      </c>
      <c r="BR72" s="56"/>
      <c r="BS72" s="55"/>
      <c r="BT72" s="56"/>
      <c r="BU72" s="9">
        <f>+'SECURED LOANS'!BE51+'RETAIL CREDIT'!BU70+'UNSECURED LOANS'!BV70+'CAR FINANCE'!BS70</f>
        <v>12811324.429999992</v>
      </c>
      <c r="BV72" s="14">
        <f t="shared" si="66"/>
        <v>0.05520093952000005</v>
      </c>
      <c r="BW72" s="10">
        <f>+'SECURED LOANS'!BG51+'RETAIL CREDIT'!BW70+'UNSECURED LOANS'!BX70+'CAR FINANCE'!BU70</f>
        <v>462</v>
      </c>
      <c r="BX72" s="14">
        <f t="shared" si="67"/>
        <v>0.008274083493024338</v>
      </c>
      <c r="BY72" s="56"/>
      <c r="BZ72" s="55"/>
      <c r="CA72" s="56"/>
      <c r="CB72" s="9">
        <f>+'SECURED LOANS'!BJ51+'RETAIL CREDIT'!CB70+'UNSECURED LOANS'!CC70+'CAR FINANCE'!BZ70</f>
        <v>13592448.549999988</v>
      </c>
      <c r="CC72" s="14">
        <f t="shared" si="68"/>
        <v>0.05837764017363369</v>
      </c>
      <c r="CD72" s="10">
        <f>+'SECURED LOANS'!BL51+'RETAIL CREDIT'!CD70+'UNSECURED LOANS'!CE70+'CAR FINANCE'!CB70</f>
        <v>490</v>
      </c>
      <c r="CE72" s="14">
        <f t="shared" si="69"/>
        <v>0.008932152101790077</v>
      </c>
      <c r="CF72" s="56"/>
      <c r="CG72" s="55"/>
      <c r="CH72" s="56"/>
      <c r="CI72" s="9">
        <f>+'SECURED LOANS'!BO51+'RETAIL CREDIT'!CI70+'UNSECURED LOANS'!CJ70+'CAR FINANCE'!CG70</f>
        <v>15002092.169999996</v>
      </c>
      <c r="CJ72" s="14">
        <f t="shared" si="70"/>
        <v>0.06711713157964797</v>
      </c>
      <c r="CK72" s="10">
        <f>+'SECURED LOANS'!BQ51+'RETAIL CREDIT'!CK70+'UNSECURED LOANS'!CL70+'CAR FINANCE'!CI70</f>
        <v>542</v>
      </c>
      <c r="CL72" s="14">
        <f t="shared" si="71"/>
        <v>0.01151329764635908</v>
      </c>
      <c r="CM72" s="56"/>
      <c r="CN72" s="55"/>
      <c r="CO72" s="9">
        <f>+'SECURED LOANS'!BT51+'RETAIL CREDIT'!CP70+'UNSECURED LOANS'!CQ70+'CAR FINANCE'!CN70</f>
        <v>15034919.270000009</v>
      </c>
      <c r="CP72" s="14">
        <f t="shared" si="72"/>
        <v>0.0706291492530277</v>
      </c>
      <c r="CQ72" s="10">
        <f>+'SECURED LOANS'!BV51+'RETAIL CREDIT'!CR70+'UNSECURED LOANS'!CS70+'CAR FINANCE'!CP70</f>
        <v>545</v>
      </c>
      <c r="CR72" s="14">
        <f t="shared" si="73"/>
        <v>0.013538018232853914</v>
      </c>
      <c r="CS72" s="34"/>
      <c r="CT72" s="34"/>
      <c r="CU72" s="100">
        <f>+'SECURED LOANS'!BY51+'RETAIL CREDIT'!CW70+'UNSECURED LOANS'!CX70+'CAR FINANCE'!CU70</f>
        <v>17279624.610000014</v>
      </c>
      <c r="CV72" s="14">
        <f t="shared" si="74"/>
        <v>0.07181534048006288</v>
      </c>
      <c r="CW72" s="10">
        <f>+'SECURED LOANS'!CA51+'RETAIL CREDIT'!CY70+'UNSECURED LOANS'!CZ70+'CAR FINANCE'!CW70</f>
        <v>628</v>
      </c>
      <c r="CX72" s="14">
        <f t="shared" si="75"/>
        <v>0.0143690653243336</v>
      </c>
      <c r="CY72" s="34"/>
      <c r="CZ72" s="34"/>
    </row>
    <row r="73" spans="1:104" ht="12.75">
      <c r="A73" s="8" t="s">
        <v>4</v>
      </c>
      <c r="B73" s="8"/>
      <c r="C73" s="8"/>
      <c r="D73" s="9">
        <f>+'SECURED LOANS'!D52+'RETAIL CREDIT'!D71+'UNSECURED LOANS'!D71+'CAR FINANCE'!D71</f>
        <v>4775576.6</v>
      </c>
      <c r="E73" s="14">
        <f t="shared" si="76"/>
        <v>0.023432795997165787</v>
      </c>
      <c r="F73" s="10">
        <f>+'SECURED LOANS'!F52+'RETAIL CREDIT'!F71+'UNSECURED LOANS'!F71+'CAR FINANCE'!F71</f>
        <v>134</v>
      </c>
      <c r="G73" s="14">
        <f t="shared" si="77"/>
        <v>0.0013271268693671387</v>
      </c>
      <c r="H73" s="14"/>
      <c r="I73" s="9">
        <v>4394063.27</v>
      </c>
      <c r="J73" s="14">
        <v>0.0251</v>
      </c>
      <c r="K73" s="10">
        <v>124</v>
      </c>
      <c r="L73" s="14">
        <v>0.0015</v>
      </c>
      <c r="M73" s="56"/>
      <c r="N73" s="55"/>
      <c r="O73" s="56"/>
      <c r="P73" s="9">
        <f>+'SECURED LOANS'!Q52+'RETAIL CREDIT'!Q71+'UNSECURED LOANS'!R71+'CAR FINANCE'!P71</f>
        <v>8372736.7299999995</v>
      </c>
      <c r="Q73" s="14">
        <f t="shared" si="78"/>
        <v>0.03721335567778913</v>
      </c>
      <c r="R73" s="10">
        <f>+'SECURED LOANS'!S52+'RETAIL CREDIT'!S71+'UNSECURED LOANS'!T71+'CAR FINANCE'!R71</f>
        <v>234</v>
      </c>
      <c r="S73" s="14">
        <f t="shared" si="79"/>
        <v>0.002605703595648252</v>
      </c>
      <c r="T73" s="56"/>
      <c r="U73" s="55"/>
      <c r="V73" s="56"/>
      <c r="W73" s="9">
        <f>+'SECURED LOANS'!V52+'RETAIL CREDIT'!X71+'UNSECURED LOANS'!Y71+'CAR FINANCE'!W71</f>
        <v>9498565.809999995</v>
      </c>
      <c r="X73" s="14">
        <f t="shared" si="80"/>
        <v>0.04221720081677727</v>
      </c>
      <c r="Y73" s="10">
        <f>+'SECURED LOANS'!X52+'RETAIL CREDIT'!Z71+'UNSECURED LOANS'!AA71+'CAR FINANCE'!Y71</f>
        <v>266</v>
      </c>
      <c r="Z73" s="14">
        <f t="shared" si="54"/>
        <v>0.0031905195989061076</v>
      </c>
      <c r="AA73" s="56"/>
      <c r="AB73" s="55"/>
      <c r="AC73" s="56"/>
      <c r="AD73" s="34"/>
      <c r="AE73" s="9">
        <f>+'SECURED LOANS'!AA52+'RETAIL CREDIT'!AE71+'UNSECURED LOANS'!AF71+'CAR FINANCE'!AD71</f>
        <v>9791010.219999999</v>
      </c>
      <c r="AF73" s="14">
        <f t="shared" si="55"/>
        <v>0.042135181119733384</v>
      </c>
      <c r="AG73" s="10">
        <f>+'SECURED LOANS'!AC52+'RETAIL CREDIT'!AG71+'UNSECURED LOANS'!AH71+'CAR FINANCE'!AF71</f>
        <v>273</v>
      </c>
      <c r="AH73" s="14">
        <f t="shared" si="56"/>
        <v>0.0035709614126880314</v>
      </c>
      <c r="AI73" s="56"/>
      <c r="AJ73" s="55"/>
      <c r="AK73" s="56"/>
      <c r="AL73" s="9">
        <f>+'SECURED LOANS'!AF52+'RETAIL CREDIT'!AL71+'UNSECURED LOANS'!AM71+'CAR FINANCE'!AK71</f>
        <v>8909882.63</v>
      </c>
      <c r="AM73" s="14">
        <f t="shared" si="57"/>
        <v>0.03898817047404213</v>
      </c>
      <c r="AN73" s="10">
        <f>+'SECURED LOANS'!AH52+'RETAIL CREDIT'!AN71+'UNSECURED LOANS'!AO71+'CAR FINANCE'!AM71</f>
        <v>248</v>
      </c>
      <c r="AO73" s="14">
        <f t="shared" si="58"/>
        <v>0.0033423631046240517</v>
      </c>
      <c r="AP73" s="56"/>
      <c r="AQ73" s="55"/>
      <c r="AR73" s="56"/>
      <c r="AS73" s="9">
        <f>+'SECURED LOANS'!AK52+'RETAIL CREDIT'!AS71+'UNSECURED LOANS'!AT71+'CAR FINANCE'!AR71</f>
        <v>7326291.109999999</v>
      </c>
      <c r="AT73" s="14">
        <f t="shared" si="59"/>
        <v>0.03242416352369781</v>
      </c>
      <c r="AU73" s="10">
        <f>+'SECURED LOANS'!AM52+'RETAIL CREDIT'!AU71+'UNSECURED LOANS'!AV71+'CAR FINANCE'!AT71</f>
        <v>204</v>
      </c>
      <c r="AV73" s="14">
        <f t="shared" si="60"/>
        <v>0.0028961228864691434</v>
      </c>
      <c r="AW73" s="56"/>
      <c r="AX73" s="55"/>
      <c r="AY73" s="56"/>
      <c r="AZ73" s="9">
        <f>+'SECURED LOANS'!AP52+'RETAIL CREDIT'!AZ71+'UNSECURED LOANS'!BA71+'CAR FINANCE'!AY71</f>
        <v>15947315.389999993</v>
      </c>
      <c r="BA73" s="14">
        <f t="shared" si="81"/>
        <v>0.06036704943923313</v>
      </c>
      <c r="BB73" s="10">
        <f>+'SECURED LOANS'!AR52+'RETAIL CREDIT'!BB71+'UNSECURED LOANS'!BC71+'CAR FINANCE'!BA71</f>
        <v>433</v>
      </c>
      <c r="BC73" s="14">
        <f t="shared" si="61"/>
        <v>0.005880834997079955</v>
      </c>
      <c r="BD73" s="56"/>
      <c r="BE73" s="55"/>
      <c r="BF73" s="56"/>
      <c r="BG73" s="9">
        <f>+'SECURED LOANS'!AU52+'RETAIL CREDIT'!BG71+'UNSECURED LOANS'!BH71+'CAR FINANCE'!BE71</f>
        <v>15208917.259999994</v>
      </c>
      <c r="BH73" s="14">
        <f t="shared" si="62"/>
        <v>0.06427688576428774</v>
      </c>
      <c r="BI73" s="10">
        <f>+'SECURED LOANS'!AW52+'RETAIL CREDIT'!BI71+'UNSECURED LOANS'!BJ71+'CAR FINANCE'!BG71</f>
        <v>411</v>
      </c>
      <c r="BJ73" s="14">
        <f t="shared" si="63"/>
        <v>0.0063684398097215555</v>
      </c>
      <c r="BK73" s="56"/>
      <c r="BL73" s="55"/>
      <c r="BM73" s="56"/>
      <c r="BN73" s="9">
        <f>+'SECURED LOANS'!AZ52+'RETAIL CREDIT'!BN71+'UNSECURED LOANS'!BO71+'CAR FINANCE'!BL71</f>
        <v>16029562.130000014</v>
      </c>
      <c r="BO73" s="14">
        <f t="shared" si="64"/>
        <v>0.07383178539595543</v>
      </c>
      <c r="BP73" s="10">
        <f>+'SECURED LOANS'!BB52+'RETAIL CREDIT'!BP71+'UNSECURED LOANS'!BQ71+'CAR FINANCE'!BN71</f>
        <v>434</v>
      </c>
      <c r="BQ73" s="14">
        <f t="shared" si="65"/>
        <v>0.007463328231672714</v>
      </c>
      <c r="BR73" s="56"/>
      <c r="BS73" s="55"/>
      <c r="BT73" s="56"/>
      <c r="BU73" s="9">
        <f>+'SECURED LOANS'!BE52+'RETAIL CREDIT'!BU71+'UNSECURED LOANS'!BV71+'CAR FINANCE'!BS71</f>
        <v>22547416.320000004</v>
      </c>
      <c r="BV73" s="14">
        <f t="shared" si="66"/>
        <v>0.09715143593569764</v>
      </c>
      <c r="BW73" s="10">
        <f>+'SECURED LOANS'!BG52+'RETAIL CREDIT'!BW71+'UNSECURED LOANS'!BX71+'CAR FINANCE'!BU71</f>
        <v>612</v>
      </c>
      <c r="BX73" s="14">
        <f t="shared" si="67"/>
        <v>0.01096047423751276</v>
      </c>
      <c r="BY73" s="56"/>
      <c r="BZ73" s="55"/>
      <c r="CA73" s="56"/>
      <c r="CB73" s="9">
        <f>+'SECURED LOANS'!BJ52+'RETAIL CREDIT'!CB71+'UNSECURED LOANS'!CC71+'CAR FINANCE'!BZ71</f>
        <v>25486549.719999995</v>
      </c>
      <c r="CC73" s="14">
        <f t="shared" si="68"/>
        <v>0.10946111904330773</v>
      </c>
      <c r="CD73" s="10">
        <f>+'SECURED LOANS'!BL52+'RETAIL CREDIT'!CD71+'UNSECURED LOANS'!CE71+'CAR FINANCE'!CB71</f>
        <v>694</v>
      </c>
      <c r="CE73" s="14">
        <f t="shared" si="69"/>
        <v>0.01265084399722921</v>
      </c>
      <c r="CF73" s="56"/>
      <c r="CG73" s="55"/>
      <c r="CH73" s="56"/>
      <c r="CI73" s="9">
        <f>+'SECURED LOANS'!BO52+'RETAIL CREDIT'!CI71+'UNSECURED LOANS'!CJ71+'CAR FINANCE'!CG71</f>
        <v>27452723.829999987</v>
      </c>
      <c r="CJ73" s="14">
        <f t="shared" si="70"/>
        <v>0.1228194078958153</v>
      </c>
      <c r="CK73" s="10">
        <f>+'SECURED LOANS'!BQ52+'RETAIL CREDIT'!CK71+'UNSECURED LOANS'!CL71+'CAR FINANCE'!CI71</f>
        <v>747</v>
      </c>
      <c r="CL73" s="14">
        <f t="shared" si="71"/>
        <v>0.01586795819525873</v>
      </c>
      <c r="CM73" s="56"/>
      <c r="CN73" s="55"/>
      <c r="CO73" s="9">
        <f>+'SECURED LOANS'!BT52+'RETAIL CREDIT'!CP71+'UNSECURED LOANS'!CQ71+'CAR FINANCE'!CN71</f>
        <v>29726780.570000004</v>
      </c>
      <c r="CP73" s="14">
        <f t="shared" si="72"/>
        <v>0.13964672400203268</v>
      </c>
      <c r="CQ73" s="10">
        <f>+'SECURED LOANS'!BV52+'RETAIL CREDIT'!CR71+'UNSECURED LOANS'!CS71+'CAR FINANCE'!CP71</f>
        <v>812</v>
      </c>
      <c r="CR73" s="14">
        <f t="shared" si="73"/>
        <v>0.02017040514693097</v>
      </c>
      <c r="CS73" s="34"/>
      <c r="CT73" s="34"/>
      <c r="CU73" s="100">
        <f>+'SECURED LOANS'!BY52+'RETAIL CREDIT'!CW71+'UNSECURED LOANS'!CX71+'CAR FINANCE'!CU71</f>
        <v>34271321.20999998</v>
      </c>
      <c r="CV73" s="14">
        <f t="shared" si="74"/>
        <v>0.14243403181186046</v>
      </c>
      <c r="CW73" s="10">
        <f>+'SECURED LOANS'!CA52+'RETAIL CREDIT'!CY71+'UNSECURED LOANS'!CZ71+'CAR FINANCE'!CW71</f>
        <v>939</v>
      </c>
      <c r="CX73" s="14">
        <f t="shared" si="75"/>
        <v>0.02148495595469626</v>
      </c>
      <c r="CY73" s="34"/>
      <c r="CZ73" s="34"/>
    </row>
    <row r="74" spans="1:104" ht="12.75">
      <c r="A74" s="8" t="s">
        <v>5</v>
      </c>
      <c r="B74" s="8"/>
      <c r="C74" s="8"/>
      <c r="D74" s="9">
        <f>+'SECURED LOANS'!D53+'RETAIL CREDIT'!D72+'UNSECURED LOANS'!D72+'CAR FINANCE'!D72</f>
        <v>892059.41</v>
      </c>
      <c r="E74" s="14">
        <f t="shared" si="76"/>
        <v>0.004377156503338691</v>
      </c>
      <c r="F74" s="10">
        <f>+'SECURED LOANS'!F53+'RETAIL CREDIT'!F72+'UNSECURED LOANS'!F72+'CAR FINANCE'!F72</f>
        <v>18</v>
      </c>
      <c r="G74" s="14">
        <f t="shared" si="77"/>
        <v>0.00017827077349707833</v>
      </c>
      <c r="H74" s="14"/>
      <c r="I74" s="9">
        <v>838943.7</v>
      </c>
      <c r="J74" s="14">
        <v>0.0048</v>
      </c>
      <c r="K74" s="10">
        <v>17</v>
      </c>
      <c r="L74" s="14">
        <v>0.0002</v>
      </c>
      <c r="M74" s="56"/>
      <c r="N74" s="55"/>
      <c r="O74" s="56"/>
      <c r="P74" s="9">
        <f>+'SECURED LOANS'!Q53+'RETAIL CREDIT'!Q72+'UNSECURED LOANS'!R72+'CAR FINANCE'!P72</f>
        <v>3259261.14</v>
      </c>
      <c r="Q74" s="14">
        <f t="shared" si="78"/>
        <v>0.01448606924603689</v>
      </c>
      <c r="R74" s="10">
        <f>+'SECURED LOANS'!S53+'RETAIL CREDIT'!S72+'UNSECURED LOANS'!T72+'CAR FINANCE'!R72</f>
        <v>64</v>
      </c>
      <c r="S74" s="14">
        <f t="shared" si="79"/>
        <v>0.0007126710688952485</v>
      </c>
      <c r="T74" s="56"/>
      <c r="U74" s="55"/>
      <c r="V74" s="56"/>
      <c r="W74" s="9">
        <f>+'SECURED LOANS'!V53+'RETAIL CREDIT'!X72+'UNSECURED LOANS'!Y72+'CAR FINANCE'!W72</f>
        <v>4050884.1</v>
      </c>
      <c r="X74" s="14">
        <f t="shared" si="80"/>
        <v>0.018004506254527926</v>
      </c>
      <c r="Y74" s="10">
        <f>+'SECURED LOANS'!X53+'RETAIL CREDIT'!Z72+'UNSECURED LOANS'!AA72+'CAR FINANCE'!Y72</f>
        <v>80</v>
      </c>
      <c r="Z74" s="14">
        <f t="shared" si="54"/>
        <v>0.000959554766588303</v>
      </c>
      <c r="AA74" s="56"/>
      <c r="AB74" s="55"/>
      <c r="AC74" s="56"/>
      <c r="AD74" s="34"/>
      <c r="AE74" s="9">
        <f>+'SECURED LOANS'!AA53+'RETAIL CREDIT'!AE72+'UNSECURED LOANS'!AF72+'CAR FINANCE'!AD72</f>
        <v>4478489.8100000005</v>
      </c>
      <c r="AF74" s="14">
        <f t="shared" si="55"/>
        <v>0.019272983588738447</v>
      </c>
      <c r="AG74" s="10">
        <f>+'SECURED LOANS'!AC53+'RETAIL CREDIT'!AG72+'UNSECURED LOANS'!AH72+'CAR FINANCE'!AF72</f>
        <v>88</v>
      </c>
      <c r="AH74" s="14">
        <f t="shared" si="56"/>
        <v>0.0011510791366906475</v>
      </c>
      <c r="AI74" s="56"/>
      <c r="AJ74" s="55"/>
      <c r="AK74" s="56"/>
      <c r="AL74" s="9">
        <f>+'SECURED LOANS'!AF53+'RETAIL CREDIT'!AL72+'UNSECURED LOANS'!AM72+'CAR FINANCE'!AK72</f>
        <v>3992899.75</v>
      </c>
      <c r="AM74" s="14">
        <f t="shared" si="57"/>
        <v>0.01747226788539191</v>
      </c>
      <c r="AN74" s="10">
        <f>+'SECURED LOANS'!AH53+'RETAIL CREDIT'!AN72+'UNSECURED LOANS'!AO72+'CAR FINANCE'!AM72</f>
        <v>79</v>
      </c>
      <c r="AO74" s="14">
        <f t="shared" si="58"/>
        <v>0.0010647043760697583</v>
      </c>
      <c r="AP74" s="56"/>
      <c r="AQ74" s="55"/>
      <c r="AR74" s="56"/>
      <c r="AS74" s="9">
        <f>+'SECURED LOANS'!AK53+'RETAIL CREDIT'!AS72+'UNSECURED LOANS'!AT72+'CAR FINANCE'!AR72</f>
        <v>3348286.13</v>
      </c>
      <c r="AT74" s="14">
        <f t="shared" si="59"/>
        <v>0.014818599940024674</v>
      </c>
      <c r="AU74" s="10">
        <f>+'SECURED LOANS'!AM53+'RETAIL CREDIT'!AU72+'UNSECURED LOANS'!AV72+'CAR FINANCE'!AT72</f>
        <v>66</v>
      </c>
      <c r="AV74" s="14">
        <f t="shared" si="60"/>
        <v>0.0009369809338576641</v>
      </c>
      <c r="AW74" s="56"/>
      <c r="AX74" s="55"/>
      <c r="AY74" s="56"/>
      <c r="AZ74" s="9">
        <f>+'SECURED LOANS'!AP53+'RETAIL CREDIT'!AZ72+'UNSECURED LOANS'!BA72+'CAR FINANCE'!AY72</f>
        <v>11418456.610000005</v>
      </c>
      <c r="BA74" s="14">
        <f t="shared" si="81"/>
        <v>0.04322348419395052</v>
      </c>
      <c r="BB74" s="10">
        <f>+'SECURED LOANS'!AR53+'RETAIL CREDIT'!BB72+'UNSECURED LOANS'!BC72+'CAR FINANCE'!BA72</f>
        <v>212</v>
      </c>
      <c r="BC74" s="14">
        <f t="shared" si="61"/>
        <v>0.002879300275706583</v>
      </c>
      <c r="BD74" s="56"/>
      <c r="BE74" s="55"/>
      <c r="BF74" s="56"/>
      <c r="BG74" s="9">
        <f>+'SECURED LOANS'!AU53+'RETAIL CREDIT'!BG72+'UNSECURED LOANS'!BH72+'CAR FINANCE'!BE72</f>
        <v>10478428.979999993</v>
      </c>
      <c r="BH74" s="14">
        <f t="shared" si="62"/>
        <v>0.044284597714792345</v>
      </c>
      <c r="BI74" s="10">
        <f>+'SECURED LOANS'!AW53+'RETAIL CREDIT'!BI72+'UNSECURED LOANS'!BJ72+'CAR FINANCE'!BG72</f>
        <v>191</v>
      </c>
      <c r="BJ74" s="14">
        <f t="shared" si="63"/>
        <v>0.002959542587972791</v>
      </c>
      <c r="BK74" s="56"/>
      <c r="BL74" s="55"/>
      <c r="BM74" s="56"/>
      <c r="BN74" s="9">
        <f>+'SECURED LOANS'!AZ53+'RETAIL CREDIT'!BN72+'UNSECURED LOANS'!BO72+'CAR FINANCE'!BL72</f>
        <v>10973000.569999991</v>
      </c>
      <c r="BO74" s="14">
        <f t="shared" si="64"/>
        <v>0.05054138202051656</v>
      </c>
      <c r="BP74" s="10">
        <f>+'SECURED LOANS'!BB53+'RETAIL CREDIT'!BP72+'UNSECURED LOANS'!BQ72+'CAR FINANCE'!BN72</f>
        <v>199</v>
      </c>
      <c r="BQ74" s="14">
        <f t="shared" si="65"/>
        <v>0.0034221251569190557</v>
      </c>
      <c r="BR74" s="56"/>
      <c r="BS74" s="55"/>
      <c r="BT74" s="56"/>
      <c r="BU74" s="9">
        <f>+'SECURED LOANS'!BE53+'RETAIL CREDIT'!BU72+'UNSECURED LOANS'!BV72+'CAR FINANCE'!BS72</f>
        <v>18027248.7</v>
      </c>
      <c r="BV74" s="14">
        <f t="shared" si="66"/>
        <v>0.07767511240839758</v>
      </c>
      <c r="BW74" s="10">
        <f>+'SECURED LOANS'!BG53+'RETAIL CREDIT'!BW72+'UNSECURED LOANS'!BX72+'CAR FINANCE'!BU72</f>
        <v>331</v>
      </c>
      <c r="BX74" s="14">
        <f t="shared" si="67"/>
        <v>0.0059279689095044505</v>
      </c>
      <c r="BY74" s="56"/>
      <c r="BZ74" s="55"/>
      <c r="CA74" s="56"/>
      <c r="CB74" s="9">
        <f>+'SECURED LOANS'!BJ53+'RETAIL CREDIT'!CB72+'UNSECURED LOANS'!CC72+'CAR FINANCE'!BZ72</f>
        <v>20701700.280000012</v>
      </c>
      <c r="CC74" s="14">
        <f t="shared" si="68"/>
        <v>0.08891086881680738</v>
      </c>
      <c r="CD74" s="10">
        <f>+'SECURED LOANS'!BL53+'RETAIL CREDIT'!CD72+'UNSECURED LOANS'!CE72+'CAR FINANCE'!CB72</f>
        <v>377</v>
      </c>
      <c r="CE74" s="14">
        <f t="shared" si="69"/>
        <v>0.006872288453826242</v>
      </c>
      <c r="CF74" s="56"/>
      <c r="CG74" s="55"/>
      <c r="CH74" s="56"/>
      <c r="CI74" s="9">
        <f>+'SECURED LOANS'!BO53+'RETAIL CREDIT'!CI72+'UNSECURED LOANS'!CJ72+'CAR FINANCE'!CG72</f>
        <v>22728318.68000001</v>
      </c>
      <c r="CJ74" s="14">
        <f t="shared" si="70"/>
        <v>0.10168312113694553</v>
      </c>
      <c r="CK74" s="10">
        <f>+'SECURED LOANS'!BQ53+'RETAIL CREDIT'!CK72+'UNSECURED LOANS'!CL72+'CAR FINANCE'!CI72</f>
        <v>414</v>
      </c>
      <c r="CL74" s="14">
        <f t="shared" si="71"/>
        <v>0.008794290084119296</v>
      </c>
      <c r="CM74" s="56"/>
      <c r="CN74" s="55"/>
      <c r="CO74" s="9">
        <f>+'SECURED LOANS'!BT53+'RETAIL CREDIT'!CP72+'UNSECURED LOANS'!CQ72+'CAR FINANCE'!CN72</f>
        <v>25262885.180000007</v>
      </c>
      <c r="CP74" s="14">
        <f t="shared" si="72"/>
        <v>0.1186767987175445</v>
      </c>
      <c r="CQ74" s="10">
        <f>+'SECURED LOANS'!BV53+'RETAIL CREDIT'!CR72+'UNSECURED LOANS'!CS72+'CAR FINANCE'!CP72</f>
        <v>462</v>
      </c>
      <c r="CR74" s="14">
        <f t="shared" si="73"/>
        <v>0.011476264997391758</v>
      </c>
      <c r="CS74" s="34"/>
      <c r="CT74" s="34"/>
      <c r="CU74" s="100">
        <f>+'SECURED LOANS'!BY53+'RETAIL CREDIT'!CW72+'UNSECURED LOANS'!CX72+'CAR FINANCE'!CU72</f>
        <v>28573578.12999999</v>
      </c>
      <c r="CV74" s="14">
        <f t="shared" si="74"/>
        <v>0.1187538090932883</v>
      </c>
      <c r="CW74" s="10">
        <f>+'SECURED LOANS'!CA53+'RETAIL CREDIT'!CY72+'UNSECURED LOANS'!CZ72+'CAR FINANCE'!CW72</f>
        <v>521</v>
      </c>
      <c r="CX74" s="14">
        <f t="shared" si="75"/>
        <v>0.011920832856652557</v>
      </c>
      <c r="CY74" s="34"/>
      <c r="CZ74" s="34"/>
    </row>
    <row r="75" spans="1:104" ht="12.75">
      <c r="A75" s="8"/>
      <c r="B75" s="8"/>
      <c r="C75" s="8"/>
      <c r="D75" s="9"/>
      <c r="E75" s="8"/>
      <c r="F75" s="10"/>
      <c r="G75" s="8"/>
      <c r="H75" s="8"/>
      <c r="I75" s="9"/>
      <c r="J75" s="8"/>
      <c r="K75" s="10"/>
      <c r="L75" s="8"/>
      <c r="M75" s="54"/>
      <c r="N75" s="55"/>
      <c r="O75" s="54"/>
      <c r="P75" s="9"/>
      <c r="Q75" s="8"/>
      <c r="R75" s="10"/>
      <c r="S75" s="8"/>
      <c r="T75" s="54"/>
      <c r="U75" s="55"/>
      <c r="V75" s="54"/>
      <c r="W75" s="9"/>
      <c r="X75" s="8"/>
      <c r="Y75" s="10"/>
      <c r="Z75" s="14"/>
      <c r="AA75" s="54"/>
      <c r="AB75" s="55"/>
      <c r="AC75" s="54"/>
      <c r="AD75" s="34"/>
      <c r="AE75" s="9"/>
      <c r="AF75" s="14"/>
      <c r="AG75" s="10"/>
      <c r="AH75" s="14"/>
      <c r="AI75" s="54"/>
      <c r="AJ75" s="55"/>
      <c r="AK75" s="54"/>
      <c r="AL75" s="9"/>
      <c r="AM75" s="14"/>
      <c r="AN75" s="10"/>
      <c r="AO75" s="14"/>
      <c r="AP75" s="54"/>
      <c r="AQ75" s="55"/>
      <c r="AR75" s="54"/>
      <c r="AS75" s="9"/>
      <c r="AT75" s="14"/>
      <c r="AU75" s="10"/>
      <c r="AV75" s="14"/>
      <c r="AW75" s="54"/>
      <c r="AX75" s="55"/>
      <c r="AY75" s="54"/>
      <c r="AZ75" s="9"/>
      <c r="BA75" s="14"/>
      <c r="BB75" s="10"/>
      <c r="BC75" s="14"/>
      <c r="BD75" s="54"/>
      <c r="BE75" s="55"/>
      <c r="BF75" s="54"/>
      <c r="BG75" s="9"/>
      <c r="BH75" s="14"/>
      <c r="BI75" s="10"/>
      <c r="BJ75" s="14"/>
      <c r="BK75" s="54"/>
      <c r="BL75" s="55"/>
      <c r="BM75" s="54"/>
      <c r="BN75" s="9"/>
      <c r="BO75" s="14"/>
      <c r="BP75" s="10"/>
      <c r="BQ75" s="14"/>
      <c r="BR75" s="54"/>
      <c r="BS75" s="55"/>
      <c r="BT75" s="54"/>
      <c r="BU75" s="9"/>
      <c r="BV75" s="14"/>
      <c r="BW75" s="10"/>
      <c r="BX75" s="14"/>
      <c r="BY75" s="54"/>
      <c r="BZ75" s="55"/>
      <c r="CA75" s="54"/>
      <c r="CB75" s="9"/>
      <c r="CC75" s="14"/>
      <c r="CD75" s="10"/>
      <c r="CE75" s="14"/>
      <c r="CF75" s="54"/>
      <c r="CG75" s="55"/>
      <c r="CH75" s="54"/>
      <c r="CI75" s="9"/>
      <c r="CJ75" s="14"/>
      <c r="CK75" s="10"/>
      <c r="CL75" s="14"/>
      <c r="CM75" s="54"/>
      <c r="CN75" s="55"/>
      <c r="CO75" s="9"/>
      <c r="CP75" s="14"/>
      <c r="CQ75" s="10"/>
      <c r="CR75" s="14"/>
      <c r="CS75" s="34"/>
      <c r="CT75" s="34"/>
      <c r="CU75" s="9"/>
      <c r="CV75" s="14"/>
      <c r="CW75" s="10"/>
      <c r="CX75" s="14"/>
      <c r="CY75" s="34"/>
      <c r="CZ75" s="34"/>
    </row>
    <row r="76" spans="1:104" ht="13.5" thickBot="1">
      <c r="A76" s="8"/>
      <c r="B76" s="12"/>
      <c r="C76" s="12"/>
      <c r="D76" s="21">
        <f>SUM(D61:D75)</f>
        <v>203798838.20000008</v>
      </c>
      <c r="E76" s="23"/>
      <c r="F76" s="22">
        <f>SUM(F61:F75)</f>
        <v>100970</v>
      </c>
      <c r="G76" s="12"/>
      <c r="H76" s="12"/>
      <c r="I76" s="21">
        <f>SUM(I61:I75)</f>
        <v>174725987.6</v>
      </c>
      <c r="J76" s="23"/>
      <c r="K76" s="22">
        <f>SUM(K61:K75)</f>
        <v>81454</v>
      </c>
      <c r="L76" s="12"/>
      <c r="M76" s="57"/>
      <c r="N76" s="31"/>
      <c r="O76" s="53"/>
      <c r="P76" s="21">
        <f>SUM(P61:P75)</f>
        <v>224992790.29000026</v>
      </c>
      <c r="Q76" s="23"/>
      <c r="R76" s="22">
        <f>SUM(R61:R75)</f>
        <v>89803</v>
      </c>
      <c r="S76" s="12"/>
      <c r="T76" s="57"/>
      <c r="U76" s="31"/>
      <c r="V76" s="53"/>
      <c r="W76" s="21">
        <f>SUM(W61:W75)</f>
        <v>235112271.3200002</v>
      </c>
      <c r="X76" s="23"/>
      <c r="Y76" s="22">
        <f>SUM(Y61:Y75)</f>
        <v>83372</v>
      </c>
      <c r="Z76" s="81"/>
      <c r="AA76" s="57"/>
      <c r="AB76" s="31"/>
      <c r="AC76" s="53"/>
      <c r="AD76" s="34"/>
      <c r="AE76" s="21">
        <f>SUM(AE61:AE75)</f>
        <v>232371380.86999997</v>
      </c>
      <c r="AF76" s="81"/>
      <c r="AG76" s="22">
        <f>SUM(AG61:AG75)</f>
        <v>76450</v>
      </c>
      <c r="AH76" s="81"/>
      <c r="AI76" s="57"/>
      <c r="AJ76" s="31"/>
      <c r="AK76" s="53"/>
      <c r="AL76" s="21">
        <f>SUM(AL61:AL75)</f>
        <v>228527846.31000054</v>
      </c>
      <c r="AM76" s="81"/>
      <c r="AN76" s="22">
        <f>SUM(AN61:AN75)</f>
        <v>74199</v>
      </c>
      <c r="AO76" s="81"/>
      <c r="AP76" s="57"/>
      <c r="AQ76" s="31"/>
      <c r="AR76" s="53"/>
      <c r="AS76" s="21">
        <f>SUM(AS61:AS75)</f>
        <v>225951584.06000024</v>
      </c>
      <c r="AT76" s="81"/>
      <c r="AU76" s="22">
        <f>SUM(AU61:AU75)</f>
        <v>70439</v>
      </c>
      <c r="AV76" s="81"/>
      <c r="AW76" s="57"/>
      <c r="AX76" s="31"/>
      <c r="AY76" s="53"/>
      <c r="AZ76" s="21">
        <f>SUM(AZ61:AZ75)</f>
        <v>264172516.93000054</v>
      </c>
      <c r="BA76" s="81"/>
      <c r="BB76" s="22">
        <f>SUM(BB61:BB75)</f>
        <v>73629</v>
      </c>
      <c r="BC76" s="81"/>
      <c r="BD76" s="57"/>
      <c r="BE76" s="31"/>
      <c r="BF76" s="53"/>
      <c r="BG76" s="21">
        <f>SUM(BG61:BG75)</f>
        <v>236615652.41000015</v>
      </c>
      <c r="BH76" s="81"/>
      <c r="BI76" s="22">
        <f>SUM(BI61:BI75)</f>
        <v>64537</v>
      </c>
      <c r="BJ76" s="81"/>
      <c r="BK76" s="57"/>
      <c r="BL76" s="31"/>
      <c r="BM76" s="53"/>
      <c r="BN76" s="21">
        <f>SUM(BN61:BN75)</f>
        <v>217109230.72</v>
      </c>
      <c r="BO76" s="81"/>
      <c r="BP76" s="22">
        <f>SUM(BP61:BP75)</f>
        <v>58151</v>
      </c>
      <c r="BQ76" s="81"/>
      <c r="BR76" s="57"/>
      <c r="BS76" s="31"/>
      <c r="BT76" s="53"/>
      <c r="BU76" s="21">
        <f>SUM(BU61:BU75)</f>
        <v>232085260.53000015</v>
      </c>
      <c r="BV76" s="81"/>
      <c r="BW76" s="22">
        <f>SUM(BW61:BW75)</f>
        <v>55837</v>
      </c>
      <c r="BX76" s="81"/>
      <c r="BY76" s="57"/>
      <c r="BZ76" s="31"/>
      <c r="CA76" s="53"/>
      <c r="CB76" s="21">
        <f>SUM(CB61:CB75)</f>
        <v>232836553.68000004</v>
      </c>
      <c r="CC76" s="81"/>
      <c r="CD76" s="22">
        <f>SUM(CD61:CD75)</f>
        <v>54858</v>
      </c>
      <c r="CE76" s="81"/>
      <c r="CF76" s="57"/>
      <c r="CG76" s="31"/>
      <c r="CH76" s="53"/>
      <c r="CI76" s="21">
        <f>SUM(CI61:CI75)</f>
        <v>223521056.64999998</v>
      </c>
      <c r="CJ76" s="81"/>
      <c r="CK76" s="22">
        <f>SUM(CK61:CK75)</f>
        <v>47076</v>
      </c>
      <c r="CL76" s="81"/>
      <c r="CM76" s="57"/>
      <c r="CN76" s="31"/>
      <c r="CO76" s="21">
        <f>SUM(CO61:CO75)</f>
        <v>212871306.38000003</v>
      </c>
      <c r="CP76" s="81"/>
      <c r="CQ76" s="22">
        <f>SUM(CQ61:CQ75)</f>
        <v>40257</v>
      </c>
      <c r="CR76" s="81"/>
      <c r="CS76" s="34"/>
      <c r="CT76" s="34"/>
      <c r="CU76" s="21">
        <f>SUM(CU61:CU75)</f>
        <v>240611887.29999995</v>
      </c>
      <c r="CV76" s="81"/>
      <c r="CW76" s="22">
        <f>SUM(CW61:CW75)</f>
        <v>43705</v>
      </c>
      <c r="CX76" s="81"/>
      <c r="CY76" s="34"/>
      <c r="CZ76" s="34"/>
    </row>
    <row r="77" spans="1:104" ht="13.5" thickTop="1">
      <c r="A77" s="8"/>
      <c r="B77" s="8"/>
      <c r="C77" s="8"/>
      <c r="D77" s="9"/>
      <c r="E77" s="8"/>
      <c r="F77" s="10"/>
      <c r="G77" s="8"/>
      <c r="H77" s="8"/>
      <c r="I77" s="9"/>
      <c r="J77" s="8"/>
      <c r="K77" s="10"/>
      <c r="L77" s="8"/>
      <c r="M77" s="54"/>
      <c r="N77" s="55"/>
      <c r="O77" s="54"/>
      <c r="P77" s="9"/>
      <c r="Q77" s="8"/>
      <c r="R77" s="10"/>
      <c r="S77" s="8"/>
      <c r="T77" s="54"/>
      <c r="U77" s="55"/>
      <c r="V77" s="54"/>
      <c r="W77" s="9"/>
      <c r="X77" s="8"/>
      <c r="Y77" s="10"/>
      <c r="Z77" s="14"/>
      <c r="AA77" s="54"/>
      <c r="AB77" s="55"/>
      <c r="AC77" s="54"/>
      <c r="AD77" s="34"/>
      <c r="AE77" s="9"/>
      <c r="AF77" s="14"/>
      <c r="AG77" s="10"/>
      <c r="AH77" s="14"/>
      <c r="AI77" s="54"/>
      <c r="AJ77" s="55"/>
      <c r="AK77" s="54"/>
      <c r="AL77" s="9"/>
      <c r="AM77" s="14"/>
      <c r="AN77" s="10"/>
      <c r="AO77" s="14"/>
      <c r="AP77" s="54"/>
      <c r="AQ77" s="55"/>
      <c r="AR77" s="54"/>
      <c r="AS77" s="9"/>
      <c r="AT77" s="14"/>
      <c r="AU77" s="10"/>
      <c r="AV77" s="14"/>
      <c r="AW77" s="54"/>
      <c r="AX77" s="55"/>
      <c r="AY77" s="54"/>
      <c r="AZ77" s="9"/>
      <c r="BA77" s="14"/>
      <c r="BB77" s="10"/>
      <c r="BC77" s="14"/>
      <c r="BD77" s="54"/>
      <c r="BE77" s="55"/>
      <c r="BF77" s="54"/>
      <c r="BG77" s="9"/>
      <c r="BH77" s="14"/>
      <c r="BI77" s="10"/>
      <c r="BJ77" s="14"/>
      <c r="BK77" s="54"/>
      <c r="BL77" s="55"/>
      <c r="BM77" s="54"/>
      <c r="BN77" s="9"/>
      <c r="BO77" s="14"/>
      <c r="BP77" s="10"/>
      <c r="BQ77" s="14"/>
      <c r="BR77" s="54"/>
      <c r="BS77" s="55"/>
      <c r="BT77" s="54"/>
      <c r="BU77" s="9"/>
      <c r="BV77" s="14"/>
      <c r="BW77" s="10"/>
      <c r="BX77" s="14"/>
      <c r="BY77" s="54"/>
      <c r="BZ77" s="55"/>
      <c r="CA77" s="54"/>
      <c r="CB77" s="9"/>
      <c r="CC77" s="14"/>
      <c r="CD77" s="10"/>
      <c r="CE77" s="14"/>
      <c r="CF77" s="54"/>
      <c r="CG77" s="55"/>
      <c r="CH77" s="54"/>
      <c r="CI77" s="9"/>
      <c r="CJ77" s="14"/>
      <c r="CK77" s="10"/>
      <c r="CL77" s="14"/>
      <c r="CM77" s="54"/>
      <c r="CN77" s="55"/>
      <c r="CO77" s="9"/>
      <c r="CP77" s="14"/>
      <c r="CQ77" s="10"/>
      <c r="CR77" s="14"/>
      <c r="CS77" s="34"/>
      <c r="CT77" s="34"/>
      <c r="CU77" s="9"/>
      <c r="CV77" s="14"/>
      <c r="CW77" s="10"/>
      <c r="CX77" s="14"/>
      <c r="CY77" s="34"/>
      <c r="CZ77" s="34"/>
    </row>
    <row r="78" spans="1:104" ht="12.75">
      <c r="A78" s="8"/>
      <c r="B78" s="8"/>
      <c r="C78" s="8"/>
      <c r="D78" s="9"/>
      <c r="E78" s="8"/>
      <c r="F78" s="10"/>
      <c r="G78" s="8"/>
      <c r="H78" s="8"/>
      <c r="I78" s="8"/>
      <c r="J78" s="8"/>
      <c r="K78" s="8"/>
      <c r="L78" s="9"/>
      <c r="M78" s="8"/>
      <c r="N78" s="10"/>
      <c r="O78" s="8"/>
      <c r="P78" s="8"/>
      <c r="Q78" s="8"/>
      <c r="R78" s="8"/>
      <c r="S78" s="9"/>
      <c r="T78" s="8"/>
      <c r="U78" s="10"/>
      <c r="V78" s="8"/>
      <c r="W78" s="8"/>
      <c r="X78" s="8"/>
      <c r="Y78" s="8"/>
      <c r="Z78" s="14"/>
      <c r="AA78" s="8"/>
      <c r="AB78" s="10"/>
      <c r="AC78" s="8"/>
      <c r="AD78" s="34"/>
      <c r="AE78" s="8"/>
      <c r="AF78" s="14"/>
      <c r="AG78" s="8"/>
      <c r="AH78" s="14"/>
      <c r="AI78" s="8"/>
      <c r="AJ78" s="10"/>
      <c r="AK78" s="8"/>
      <c r="AL78" s="8"/>
      <c r="AM78" s="14"/>
      <c r="AN78" s="8"/>
      <c r="AO78" s="14"/>
      <c r="AP78" s="8"/>
      <c r="AQ78" s="10"/>
      <c r="AR78" s="8"/>
      <c r="AS78" s="8"/>
      <c r="AT78" s="14"/>
      <c r="AU78" s="8"/>
      <c r="AV78" s="14"/>
      <c r="AW78" s="8"/>
      <c r="AX78" s="10"/>
      <c r="AY78" s="8"/>
      <c r="AZ78" s="8"/>
      <c r="BA78" s="14"/>
      <c r="BB78" s="8"/>
      <c r="BC78" s="14"/>
      <c r="BD78" s="8"/>
      <c r="BE78" s="10"/>
      <c r="BF78" s="8"/>
      <c r="BG78" s="8"/>
      <c r="BH78" s="14"/>
      <c r="BI78" s="10"/>
      <c r="BJ78" s="14"/>
      <c r="BK78" s="8"/>
      <c r="BL78" s="10"/>
      <c r="BM78" s="8"/>
      <c r="BN78" s="8"/>
      <c r="BO78" s="14"/>
      <c r="BP78" s="10"/>
      <c r="BQ78" s="14"/>
      <c r="BR78" s="8"/>
      <c r="BS78" s="10"/>
      <c r="BT78" s="8"/>
      <c r="BU78" s="8"/>
      <c r="BV78" s="14"/>
      <c r="BW78" s="10"/>
      <c r="BX78" s="14"/>
      <c r="BY78" s="8"/>
      <c r="BZ78" s="10"/>
      <c r="CA78" s="8"/>
      <c r="CB78" s="8"/>
      <c r="CC78" s="14"/>
      <c r="CD78" s="10"/>
      <c r="CE78" s="14"/>
      <c r="CF78" s="8"/>
      <c r="CG78" s="10"/>
      <c r="CH78" s="8"/>
      <c r="CI78" s="8"/>
      <c r="CJ78" s="14"/>
      <c r="CK78" s="10"/>
      <c r="CL78" s="14"/>
      <c r="CM78" s="8"/>
      <c r="CN78" s="10"/>
      <c r="CO78" s="9"/>
      <c r="CP78" s="14"/>
      <c r="CQ78" s="10"/>
      <c r="CR78" s="14"/>
      <c r="CS78" s="34"/>
      <c r="CT78" s="34"/>
      <c r="CU78" s="9"/>
      <c r="CV78" s="14"/>
      <c r="CW78" s="10"/>
      <c r="CX78" s="14"/>
      <c r="CY78" s="34"/>
      <c r="CZ78" s="34"/>
    </row>
    <row r="79" spans="1:104" ht="12.75">
      <c r="A79" s="19" t="s">
        <v>109</v>
      </c>
      <c r="B79" s="8"/>
      <c r="C79" s="8"/>
      <c r="D79" s="9"/>
      <c r="E79" s="8"/>
      <c r="F79" s="10"/>
      <c r="G79" s="8"/>
      <c r="H79" s="8"/>
      <c r="I79" s="19" t="s">
        <v>109</v>
      </c>
      <c r="J79" s="8"/>
      <c r="K79" s="8"/>
      <c r="L79" s="9"/>
      <c r="M79" s="8"/>
      <c r="N79" s="10"/>
      <c r="O79" s="8"/>
      <c r="P79" s="19" t="s">
        <v>109</v>
      </c>
      <c r="Q79" s="8"/>
      <c r="R79" s="8"/>
      <c r="S79" s="9"/>
      <c r="T79" s="8"/>
      <c r="U79" s="10"/>
      <c r="V79" s="8"/>
      <c r="W79" s="19" t="s">
        <v>109</v>
      </c>
      <c r="X79" s="8"/>
      <c r="Y79" s="8"/>
      <c r="Z79" s="14"/>
      <c r="AA79" s="8"/>
      <c r="AB79" s="10"/>
      <c r="AC79" s="8"/>
      <c r="AD79" s="34"/>
      <c r="AE79" s="19" t="s">
        <v>109</v>
      </c>
      <c r="AF79" s="14"/>
      <c r="AG79" s="8"/>
      <c r="AH79" s="14"/>
      <c r="AI79" s="8"/>
      <c r="AJ79" s="10"/>
      <c r="AK79" s="8"/>
      <c r="AL79" s="19" t="s">
        <v>109</v>
      </c>
      <c r="AM79" s="14"/>
      <c r="AN79" s="8"/>
      <c r="AO79" s="14"/>
      <c r="AP79" s="8"/>
      <c r="AQ79" s="10"/>
      <c r="AR79" s="8"/>
      <c r="AS79" s="19" t="s">
        <v>109</v>
      </c>
      <c r="AT79" s="14"/>
      <c r="AU79" s="8"/>
      <c r="AV79" s="14"/>
      <c r="AW79" s="8"/>
      <c r="AX79" s="10"/>
      <c r="AY79" s="8"/>
      <c r="AZ79" s="19" t="s">
        <v>109</v>
      </c>
      <c r="BA79" s="14"/>
      <c r="BB79" s="8"/>
      <c r="BC79" s="14"/>
      <c r="BD79" s="8"/>
      <c r="BE79" s="10"/>
      <c r="BF79" s="8"/>
      <c r="BG79" s="19" t="s">
        <v>109</v>
      </c>
      <c r="BH79" s="14"/>
      <c r="BI79" s="91"/>
      <c r="BJ79" s="14"/>
      <c r="BK79" s="8"/>
      <c r="BL79" s="10"/>
      <c r="BM79" s="8"/>
      <c r="BN79" s="19" t="s">
        <v>109</v>
      </c>
      <c r="BO79" s="14"/>
      <c r="BP79" s="91"/>
      <c r="BQ79" s="14"/>
      <c r="BR79" s="8"/>
      <c r="BS79" s="10"/>
      <c r="BT79" s="8"/>
      <c r="BU79" s="19" t="s">
        <v>109</v>
      </c>
      <c r="BV79" s="14"/>
      <c r="BW79" s="91"/>
      <c r="BX79" s="14"/>
      <c r="BY79" s="8"/>
      <c r="BZ79" s="10"/>
      <c r="CA79" s="8"/>
      <c r="CB79" s="19" t="s">
        <v>109</v>
      </c>
      <c r="CC79" s="14"/>
      <c r="CD79" s="91"/>
      <c r="CE79" s="14"/>
      <c r="CF79" s="8"/>
      <c r="CG79" s="10"/>
      <c r="CH79" s="8"/>
      <c r="CI79" s="19" t="s">
        <v>109</v>
      </c>
      <c r="CJ79" s="14"/>
      <c r="CK79" s="91"/>
      <c r="CL79" s="14"/>
      <c r="CM79" s="8"/>
      <c r="CN79" s="10"/>
      <c r="CO79" s="98" t="s">
        <v>180</v>
      </c>
      <c r="CP79" s="14"/>
      <c r="CQ79" s="91"/>
      <c r="CR79" s="14"/>
      <c r="CS79" s="34"/>
      <c r="CT79" s="34"/>
      <c r="CU79" s="98" t="s">
        <v>180</v>
      </c>
      <c r="CV79" s="14"/>
      <c r="CW79" s="91" t="s">
        <v>180</v>
      </c>
      <c r="CX79" s="14"/>
      <c r="CY79" s="34"/>
      <c r="CZ79" s="34"/>
    </row>
    <row r="80" spans="1:104" ht="12.75">
      <c r="A80" s="19"/>
      <c r="B80" s="8"/>
      <c r="C80" s="8"/>
      <c r="D80" s="9"/>
      <c r="E80" s="8"/>
      <c r="F80" s="10"/>
      <c r="G80" s="8"/>
      <c r="H80" s="8"/>
      <c r="I80" s="19"/>
      <c r="J80" s="8"/>
      <c r="K80" s="8"/>
      <c r="L80" s="9"/>
      <c r="M80" s="8"/>
      <c r="N80" s="10"/>
      <c r="O80" s="8"/>
      <c r="P80" s="19"/>
      <c r="Q80" s="8"/>
      <c r="R80" s="8"/>
      <c r="S80" s="9"/>
      <c r="T80" s="8"/>
      <c r="U80" s="10"/>
      <c r="V80" s="8"/>
      <c r="W80" s="19"/>
      <c r="X80" s="8"/>
      <c r="Y80" s="8"/>
      <c r="Z80" s="14"/>
      <c r="AA80" s="8"/>
      <c r="AB80" s="10"/>
      <c r="AC80" s="8"/>
      <c r="AD80" s="34"/>
      <c r="AE80" s="19"/>
      <c r="AF80" s="14"/>
      <c r="AG80" s="8"/>
      <c r="AH80" s="14"/>
      <c r="AI80" s="8"/>
      <c r="AJ80" s="10"/>
      <c r="AK80" s="8"/>
      <c r="AL80" s="19"/>
      <c r="AM80" s="14"/>
      <c r="AN80" s="8"/>
      <c r="AO80" s="14"/>
      <c r="AP80" s="8"/>
      <c r="AQ80" s="10"/>
      <c r="AR80" s="8"/>
      <c r="AS80" s="19"/>
      <c r="AT80" s="14"/>
      <c r="AU80" s="8"/>
      <c r="AV80" s="14"/>
      <c r="AW80" s="8"/>
      <c r="AX80" s="10"/>
      <c r="AY80" s="8"/>
      <c r="AZ80" s="19"/>
      <c r="BA80" s="14"/>
      <c r="BB80" s="8"/>
      <c r="BC80" s="14"/>
      <c r="BD80" s="8"/>
      <c r="BE80" s="10"/>
      <c r="BF80" s="8"/>
      <c r="BG80" s="19"/>
      <c r="BH80" s="14"/>
      <c r="BI80" s="91"/>
      <c r="BJ80" s="14"/>
      <c r="BK80" s="8"/>
      <c r="BL80" s="10"/>
      <c r="BM80" s="8"/>
      <c r="BN80" s="19"/>
      <c r="BO80" s="14"/>
      <c r="BP80" s="91"/>
      <c r="BQ80" s="14"/>
      <c r="BR80" s="8"/>
      <c r="BS80" s="10"/>
      <c r="BT80" s="8"/>
      <c r="BU80" s="19"/>
      <c r="BV80" s="14"/>
      <c r="BW80" s="91"/>
      <c r="BX80" s="14"/>
      <c r="BY80" s="8"/>
      <c r="BZ80" s="10"/>
      <c r="CA80" s="8"/>
      <c r="CB80" s="19"/>
      <c r="CC80" s="14"/>
      <c r="CD80" s="91"/>
      <c r="CE80" s="14"/>
      <c r="CF80" s="8"/>
      <c r="CG80" s="10"/>
      <c r="CH80" s="8"/>
      <c r="CI80" s="19"/>
      <c r="CJ80" s="14"/>
      <c r="CK80" s="91"/>
      <c r="CL80" s="14"/>
      <c r="CM80" s="8"/>
      <c r="CN80" s="10"/>
      <c r="CO80" s="98"/>
      <c r="CP80" s="14"/>
      <c r="CQ80" s="91"/>
      <c r="CR80" s="14"/>
      <c r="CS80" s="34"/>
      <c r="CT80" s="34"/>
      <c r="CU80" s="98"/>
      <c r="CV80" s="14"/>
      <c r="CW80" s="91"/>
      <c r="CX80" s="14"/>
      <c r="CY80" s="34"/>
      <c r="CZ80" s="34"/>
    </row>
    <row r="81" spans="1:104" s="29" customFormat="1" ht="12.75">
      <c r="A81" s="25"/>
      <c r="B81" s="26"/>
      <c r="C81" s="26"/>
      <c r="D81" s="27" t="s">
        <v>99</v>
      </c>
      <c r="E81" s="26" t="s">
        <v>100</v>
      </c>
      <c r="F81" s="28" t="s">
        <v>101</v>
      </c>
      <c r="G81" s="26" t="s">
        <v>100</v>
      </c>
      <c r="H81" s="26"/>
      <c r="I81" s="27" t="s">
        <v>99</v>
      </c>
      <c r="J81" s="26" t="s">
        <v>100</v>
      </c>
      <c r="K81" s="28" t="s">
        <v>101</v>
      </c>
      <c r="L81" s="26" t="s">
        <v>100</v>
      </c>
      <c r="M81" s="53"/>
      <c r="N81" s="31"/>
      <c r="O81" s="53"/>
      <c r="P81" s="27" t="s">
        <v>99</v>
      </c>
      <c r="Q81" s="26" t="s">
        <v>100</v>
      </c>
      <c r="R81" s="28" t="s">
        <v>101</v>
      </c>
      <c r="S81" s="26" t="s">
        <v>100</v>
      </c>
      <c r="T81" s="53"/>
      <c r="U81" s="31"/>
      <c r="V81" s="53"/>
      <c r="W81" s="27" t="s">
        <v>99</v>
      </c>
      <c r="X81" s="26" t="s">
        <v>100</v>
      </c>
      <c r="Y81" s="28" t="s">
        <v>101</v>
      </c>
      <c r="Z81" s="82">
        <f>+Z60</f>
        <v>0</v>
      </c>
      <c r="AA81" s="53"/>
      <c r="AB81" s="31"/>
      <c r="AC81" s="53"/>
      <c r="AD81" s="25"/>
      <c r="AE81" s="27" t="s">
        <v>99</v>
      </c>
      <c r="AF81" s="82" t="s">
        <v>100</v>
      </c>
      <c r="AG81" s="28" t="s">
        <v>101</v>
      </c>
      <c r="AH81" s="82">
        <f>+AH60</f>
        <v>0</v>
      </c>
      <c r="AI81" s="53"/>
      <c r="AJ81" s="31"/>
      <c r="AK81" s="53"/>
      <c r="AL81" s="27" t="s">
        <v>99</v>
      </c>
      <c r="AM81" s="82" t="s">
        <v>100</v>
      </c>
      <c r="AN81" s="28" t="s">
        <v>101</v>
      </c>
      <c r="AO81" s="82" t="s">
        <v>152</v>
      </c>
      <c r="AP81" s="53"/>
      <c r="AQ81" s="31"/>
      <c r="AR81" s="53"/>
      <c r="AS81" s="27" t="s">
        <v>99</v>
      </c>
      <c r="AT81" s="82" t="s">
        <v>100</v>
      </c>
      <c r="AU81" s="28" t="s">
        <v>101</v>
      </c>
      <c r="AV81" s="82" t="s">
        <v>165</v>
      </c>
      <c r="AW81" s="53"/>
      <c r="AX81" s="31"/>
      <c r="AY81" s="53"/>
      <c r="AZ81" s="89" t="s">
        <v>99</v>
      </c>
      <c r="BA81" s="44" t="s">
        <v>100</v>
      </c>
      <c r="BB81" s="88" t="s">
        <v>101</v>
      </c>
      <c r="BC81" s="94" t="s">
        <v>100</v>
      </c>
      <c r="BD81" s="53"/>
      <c r="BE81" s="31"/>
      <c r="BF81" s="53"/>
      <c r="BG81" s="89" t="s">
        <v>99</v>
      </c>
      <c r="BH81" s="94" t="s">
        <v>100</v>
      </c>
      <c r="BI81" s="88" t="s">
        <v>99</v>
      </c>
      <c r="BJ81" s="94" t="s">
        <v>100</v>
      </c>
      <c r="BK81" s="53"/>
      <c r="BL81" s="31"/>
      <c r="BM81" s="53"/>
      <c r="BN81" s="89" t="s">
        <v>99</v>
      </c>
      <c r="BO81" s="94" t="s">
        <v>100</v>
      </c>
      <c r="BP81" s="88" t="s">
        <v>99</v>
      </c>
      <c r="BQ81" s="94" t="s">
        <v>100</v>
      </c>
      <c r="BR81" s="53"/>
      <c r="BS81" s="31"/>
      <c r="BT81" s="53"/>
      <c r="BU81" s="89" t="s">
        <v>99</v>
      </c>
      <c r="BV81" s="94" t="s">
        <v>100</v>
      </c>
      <c r="BW81" s="88" t="s">
        <v>99</v>
      </c>
      <c r="BX81" s="94" t="s">
        <v>100</v>
      </c>
      <c r="BY81" s="53"/>
      <c r="BZ81" s="31"/>
      <c r="CA81" s="53"/>
      <c r="CB81" s="89" t="s">
        <v>99</v>
      </c>
      <c r="CC81" s="94" t="s">
        <v>100</v>
      </c>
      <c r="CD81" s="88" t="s">
        <v>99</v>
      </c>
      <c r="CE81" s="94" t="s">
        <v>100</v>
      </c>
      <c r="CF81" s="53"/>
      <c r="CG81" s="31"/>
      <c r="CH81" s="53"/>
      <c r="CI81" s="89" t="s">
        <v>99</v>
      </c>
      <c r="CJ81" s="94" t="s">
        <v>100</v>
      </c>
      <c r="CK81" s="88" t="s">
        <v>99</v>
      </c>
      <c r="CL81" s="94" t="s">
        <v>100</v>
      </c>
      <c r="CM81" s="53"/>
      <c r="CN81" s="31"/>
      <c r="CO81" s="89" t="s">
        <v>99</v>
      </c>
      <c r="CP81" s="94" t="s">
        <v>100</v>
      </c>
      <c r="CQ81" s="88" t="s">
        <v>99</v>
      </c>
      <c r="CR81" s="94" t="s">
        <v>100</v>
      </c>
      <c r="CS81" s="25"/>
      <c r="CT81" s="25"/>
      <c r="CU81" s="89" t="s">
        <v>99</v>
      </c>
      <c r="CV81" s="94" t="s">
        <v>100</v>
      </c>
      <c r="CW81" s="88" t="s">
        <v>99</v>
      </c>
      <c r="CX81" s="94" t="s">
        <v>100</v>
      </c>
      <c r="CY81" s="25"/>
      <c r="CZ81" s="25"/>
    </row>
    <row r="82" spans="1:104" ht="12.75">
      <c r="A82" s="12"/>
      <c r="B82" s="8"/>
      <c r="C82" s="8"/>
      <c r="D82" s="9"/>
      <c r="E82" s="8"/>
      <c r="F82" s="10"/>
      <c r="G82" s="8"/>
      <c r="H82" s="8"/>
      <c r="I82" s="9"/>
      <c r="J82" s="8"/>
      <c r="K82" s="10"/>
      <c r="L82" s="8"/>
      <c r="M82" s="54"/>
      <c r="N82" s="55"/>
      <c r="O82" s="54"/>
      <c r="P82" s="9"/>
      <c r="Q82" s="8"/>
      <c r="R82" s="10"/>
      <c r="S82" s="8"/>
      <c r="T82" s="54"/>
      <c r="U82" s="55"/>
      <c r="V82" s="54"/>
      <c r="W82" s="9"/>
      <c r="X82" s="8"/>
      <c r="Y82" s="10"/>
      <c r="Z82" s="14"/>
      <c r="AA82" s="54"/>
      <c r="AB82" s="55"/>
      <c r="AC82" s="54"/>
      <c r="AD82" s="34"/>
      <c r="AE82" s="9"/>
      <c r="AF82" s="14"/>
      <c r="AG82" s="10"/>
      <c r="AH82" s="14"/>
      <c r="AI82" s="54"/>
      <c r="AJ82" s="55"/>
      <c r="AK82" s="54"/>
      <c r="AL82" s="9"/>
      <c r="AM82" s="14"/>
      <c r="AN82" s="10"/>
      <c r="AO82" s="14"/>
      <c r="AP82" s="54"/>
      <c r="AQ82" s="55"/>
      <c r="AR82" s="54"/>
      <c r="AS82" s="9"/>
      <c r="AT82" s="14"/>
      <c r="AU82" s="10"/>
      <c r="AV82" s="14"/>
      <c r="AW82" s="54"/>
      <c r="AX82" s="55"/>
      <c r="AY82" s="54"/>
      <c r="AZ82" s="9"/>
      <c r="BA82" s="14"/>
      <c r="BB82" s="10"/>
      <c r="BC82" s="14"/>
      <c r="BD82" s="54"/>
      <c r="BE82" s="55"/>
      <c r="BF82" s="54"/>
      <c r="BG82" s="9"/>
      <c r="BH82" s="14"/>
      <c r="BI82" s="10"/>
      <c r="BJ82" s="14"/>
      <c r="BK82" s="54"/>
      <c r="BL82" s="55"/>
      <c r="BM82" s="54"/>
      <c r="BN82" s="9"/>
      <c r="BO82" s="14"/>
      <c r="BP82" s="10"/>
      <c r="BQ82" s="14"/>
      <c r="BR82" s="54"/>
      <c r="BS82" s="55"/>
      <c r="BT82" s="54"/>
      <c r="BU82" s="9"/>
      <c r="BV82" s="14"/>
      <c r="BW82" s="10"/>
      <c r="BX82" s="14"/>
      <c r="BY82" s="54"/>
      <c r="BZ82" s="55"/>
      <c r="CA82" s="54"/>
      <c r="CB82" s="9"/>
      <c r="CC82" s="14"/>
      <c r="CD82" s="10"/>
      <c r="CE82" s="14"/>
      <c r="CF82" s="54"/>
      <c r="CG82" s="55"/>
      <c r="CH82" s="54"/>
      <c r="CI82" s="9"/>
      <c r="CJ82" s="14"/>
      <c r="CK82" s="10"/>
      <c r="CL82" s="14"/>
      <c r="CM82" s="54"/>
      <c r="CN82" s="55"/>
      <c r="CO82" s="9"/>
      <c r="CP82" s="14"/>
      <c r="CQ82" s="10"/>
      <c r="CR82" s="14"/>
      <c r="CS82" s="34"/>
      <c r="CT82" s="34"/>
      <c r="CU82" s="9"/>
      <c r="CV82" s="14"/>
      <c r="CW82" s="10"/>
      <c r="CX82" s="14"/>
      <c r="CY82" s="34"/>
      <c r="CZ82" s="34"/>
    </row>
    <row r="83" spans="1:104" ht="12.75">
      <c r="A83" s="8" t="s">
        <v>25</v>
      </c>
      <c r="B83" s="8"/>
      <c r="C83" s="8"/>
      <c r="D83" s="9">
        <f>+'SECURED LOANS'!D62+'RETAIL CREDIT'!D81+'UNSECURED LOANS'!D81+'CAR FINANCE'!D82</f>
        <v>54408780.330000065</v>
      </c>
      <c r="E83" s="14">
        <f>+D83/$D$96</f>
        <v>0.26697296613931354</v>
      </c>
      <c r="F83" s="10">
        <f>+'SECURED LOANS'!F62+'RETAIL CREDIT'!F81+'UNSECURED LOANS'!F81+'CAR FINANCE'!F82</f>
        <v>31899</v>
      </c>
      <c r="G83" s="14">
        <f>+F83/$F$96</f>
        <v>0.3159255224324057</v>
      </c>
      <c r="H83" s="14"/>
      <c r="I83" s="9">
        <v>42982304.78</v>
      </c>
      <c r="J83" s="14">
        <v>0.246</v>
      </c>
      <c r="K83" s="10">
        <v>16197</v>
      </c>
      <c r="L83" s="14">
        <v>0.1988</v>
      </c>
      <c r="M83" s="56"/>
      <c r="N83" s="55"/>
      <c r="O83" s="56"/>
      <c r="P83" s="9">
        <f>+'CAR FINANCE'!P82+'UNSECURED LOANS'!R81+'RETAIL CREDIT'!Q81+'SECURED LOANS'!Q62</f>
        <v>48877134.01999986</v>
      </c>
      <c r="Q83" s="14">
        <f>+P83/$P$96</f>
        <v>0.21723866776797895</v>
      </c>
      <c r="R83" s="10">
        <f>+'CAR FINANCE'!R82+'UNSECURED LOANS'!T81+'RETAIL CREDIT'!S81+'SECURED LOANS'!S62</f>
        <v>18255</v>
      </c>
      <c r="S83" s="14">
        <f>+R83/$R$96</f>
        <v>0.20327828691691815</v>
      </c>
      <c r="T83" s="56"/>
      <c r="U83" s="55"/>
      <c r="V83" s="56"/>
      <c r="W83" s="9">
        <f>+'CAR FINANCE'!W82+'UNSECURED LOANS'!Y81+'RETAIL CREDIT'!X81+'SECURED LOANS'!V62</f>
        <v>51921752.22999997</v>
      </c>
      <c r="X83" s="14">
        <f>+W83/$P$96</f>
        <v>0.23077073786709548</v>
      </c>
      <c r="Y83" s="10">
        <f>+'CAR FINANCE'!Y82+'UNSECURED LOANS'!AA81+'RETAIL CREDIT'!Z81+'SECURED LOANS'!X62</f>
        <v>16965</v>
      </c>
      <c r="Z83" s="14">
        <f aca="true" t="shared" si="82" ref="Z83:Z94">+Y83/$Y$96</f>
        <v>0.20348558268963202</v>
      </c>
      <c r="AA83" s="56"/>
      <c r="AB83" s="55"/>
      <c r="AC83" s="56"/>
      <c r="AD83" s="34"/>
      <c r="AE83" s="9">
        <f>+'CAR FINANCE'!AD82+'UNSECURED LOANS'!AF81+'RETAIL CREDIT'!AE81+'SECURED LOANS'!AA62</f>
        <v>52744615.50000005</v>
      </c>
      <c r="AF83" s="14">
        <f aca="true" t="shared" si="83" ref="AF83:AF94">+AE83/$AE$96</f>
        <v>0.2269841290374221</v>
      </c>
      <c r="AG83" s="10">
        <f>+'CAR FINANCE'!AF82+'UNSECURED LOANS'!AH81+'RETAIL CREDIT'!AG81+'SECURED LOANS'!AC62</f>
        <v>15834</v>
      </c>
      <c r="AH83" s="14">
        <f aca="true" t="shared" si="84" ref="AH83:AH94">+AG83/$AG$96</f>
        <v>0.20711576193590583</v>
      </c>
      <c r="AI83" s="56"/>
      <c r="AJ83" s="55"/>
      <c r="AK83" s="56"/>
      <c r="AL83" s="9">
        <f>+'CAR FINANCE'!AK82+'UNSECURED LOANS'!AM81+'RETAIL CREDIT'!AL81+'SECURED LOANS'!AF62</f>
        <v>53310159.30000004</v>
      </c>
      <c r="AM83" s="14">
        <f aca="true" t="shared" si="85" ref="AM83:AM94">+AL83/$AL$96</f>
        <v>0.23327642631211057</v>
      </c>
      <c r="AN83" s="10">
        <f>+'CAR FINANCE'!AM82+'UNSECURED LOANS'!AO81+'RETAIL CREDIT'!AN81+'SECURED LOANS'!AH62</f>
        <v>16711</v>
      </c>
      <c r="AO83" s="14">
        <f aca="true" t="shared" si="86" ref="AO83:AO94">+AN83/$AN$96</f>
        <v>0.2252186687152118</v>
      </c>
      <c r="AP83" s="56"/>
      <c r="AQ83" s="55"/>
      <c r="AR83" s="56"/>
      <c r="AS83" s="9">
        <f>+'CAR FINANCE'!AR82+'UNSECURED LOANS'!AT81+'RETAIL CREDIT'!AS81+'SECURED LOANS'!AK62</f>
        <v>54249836.539999954</v>
      </c>
      <c r="AT83" s="14">
        <f aca="true" t="shared" si="87" ref="AT83:AT94">+AS83/$AS$96</f>
        <v>0.2400949600140634</v>
      </c>
      <c r="AU83" s="10">
        <f>+'CAR FINANCE'!AT82+'UNSECURED LOANS'!AV81+'RETAIL CREDIT'!AU81+'SECURED LOANS'!AM62</f>
        <v>16487</v>
      </c>
      <c r="AV83" s="14">
        <f aca="true" t="shared" si="88" ref="AV83:AV94">+AU83/$AU$96</f>
        <v>0.2340606766138077</v>
      </c>
      <c r="AW83" s="56"/>
      <c r="AX83" s="55"/>
      <c r="AY83" s="56"/>
      <c r="AZ83" s="9">
        <f>+'CAR FINANCE'!AY82+'UNSECURED LOANS'!BA81+'RETAIL CREDIT'!AZ81+'SECURED LOANS'!AP62</f>
        <v>89300994.59999989</v>
      </c>
      <c r="BA83" s="14">
        <f>+AZ83/$AZ$96</f>
        <v>0.33804044280527024</v>
      </c>
      <c r="BB83" s="10">
        <f>+'CAR FINANCE'!BA82+'UNSECURED LOANS'!BC81+'RETAIL CREDIT'!BB81+'SECURED LOANS'!AR62</f>
        <v>20636</v>
      </c>
      <c r="BC83" s="14">
        <f aca="true" t="shared" si="89" ref="BC83:BC94">+BB83/$BB$96</f>
        <v>0.2802700023088729</v>
      </c>
      <c r="BD83" s="56"/>
      <c r="BE83" s="55"/>
      <c r="BF83" s="56"/>
      <c r="BG83" s="9">
        <f>+'CAR FINANCE'!BE82+'UNSECURED LOANS'!BH81+'RETAIL CREDIT'!BG81+'SECURED LOANS'!AU62</f>
        <v>82375866.03999999</v>
      </c>
      <c r="BH83" s="14">
        <f aca="true" t="shared" si="90" ref="BH83:BH94">+BG83/$BG$96</f>
        <v>0.34814208274464353</v>
      </c>
      <c r="BI83" s="10">
        <f>+'CAR FINANCE'!BG82+'UNSECURED LOANS'!BJ81+'RETAIL CREDIT'!BI81+'SECURED LOANS'!AW62</f>
        <v>17544</v>
      </c>
      <c r="BJ83" s="14">
        <f aca="true" t="shared" si="91" ref="BJ83:BJ94">+BI83/$BI$96</f>
        <v>0.27184405844709236</v>
      </c>
      <c r="BK83" s="56"/>
      <c r="BL83" s="55"/>
      <c r="BM83" s="56"/>
      <c r="BN83" s="9">
        <f>+'CAR FINANCE'!BL82+'UNSECURED LOANS'!BO81+'RETAIL CREDIT'!BN81+'SECURED LOANS'!AZ62</f>
        <v>80882483.17000008</v>
      </c>
      <c r="BO83" s="14">
        <f aca="true" t="shared" si="92" ref="BO83:BO94">+BN83/$BN$96</f>
        <v>0.3725428112925886</v>
      </c>
      <c r="BP83" s="10">
        <f>+'CAR FINANCE'!BN82+'UNSECURED LOANS'!BQ81+'RETAIL CREDIT'!BP81+'SECURED LOANS'!BB62</f>
        <v>16092</v>
      </c>
      <c r="BQ83" s="14">
        <f aca="true" t="shared" si="93" ref="BQ83:BQ94">+BP83/$BP$96</f>
        <v>0.27672782927206757</v>
      </c>
      <c r="BR83" s="56"/>
      <c r="BS83" s="55"/>
      <c r="BT83" s="56"/>
      <c r="BU83" s="9">
        <f>+'CAR FINANCE'!BS82+'UNSECURED LOANS'!BV81+'RETAIL CREDIT'!BU81+'SECURED LOANS'!BE62</f>
        <v>106803915.46000004</v>
      </c>
      <c r="BV83" s="14">
        <f aca="true" t="shared" si="94" ref="BV83:BV94">+BU83/$BU$96</f>
        <v>0.46019258274350533</v>
      </c>
      <c r="BW83" s="10">
        <f>+'CAR FINANCE'!BU82+'UNSECURED LOANS'!BX81+'RETAIL CREDIT'!BW81+'SECURED LOANS'!BG62</f>
        <v>16920</v>
      </c>
      <c r="BX83" s="14">
        <f aca="true" t="shared" si="95" ref="BX83:BX94">+BW83/$BW$96</f>
        <v>0.303024875978294</v>
      </c>
      <c r="BY83" s="56"/>
      <c r="BZ83" s="55"/>
      <c r="CA83" s="56"/>
      <c r="CB83" s="9">
        <f>+'CAR FINANCE'!BZ82+'UNSECURED LOANS'!CC81+'RETAIL CREDIT'!CB81+'SECURED LOANS'!BJ62</f>
        <v>117500461.22000018</v>
      </c>
      <c r="CC83" s="14">
        <f aca="true" t="shared" si="96" ref="CC83:CC94">+CB83/$CB$96</f>
        <v>0.5046478285427954</v>
      </c>
      <c r="CD83" s="10">
        <f>+'CAR FINANCE'!CB82+'UNSECURED LOANS'!CE81+'RETAIL CREDIT'!CD81+'SECURED LOANS'!BL62</f>
        <v>18010</v>
      </c>
      <c r="CE83" s="14">
        <f aca="true" t="shared" si="97" ref="CE83:CE94">+CD83/$CD$96</f>
        <v>0.32830216194538625</v>
      </c>
      <c r="CF83" s="56"/>
      <c r="CG83" s="55"/>
      <c r="CH83" s="56"/>
      <c r="CI83" s="9">
        <f>+'CAR FINANCE'!CG82+'UNSECURED LOANS'!CJ81+'RETAIL CREDIT'!CI81+'SECURED LOANS'!BO62</f>
        <v>119885957.37</v>
      </c>
      <c r="CJ83" s="14">
        <f aca="true" t="shared" si="98" ref="CJ83:CJ94">+CI83/$CI$96</f>
        <v>0.5363519623912801</v>
      </c>
      <c r="CK83" s="10">
        <f>+'CAR FINANCE'!CI82+'UNSECURED LOANS'!CL81+'RETAIL CREDIT'!CK81+'SECURED LOANS'!BQ62</f>
        <v>14718</v>
      </c>
      <c r="CL83" s="14">
        <f aca="true" t="shared" si="99" ref="CL83:CL94">+CK83/$CK$96</f>
        <v>0.312643385164415</v>
      </c>
      <c r="CM83" s="56"/>
      <c r="CN83" s="55"/>
      <c r="CO83" s="9">
        <f>+'CAR FINANCE'!CN82+'UNSECURED LOANS'!CQ81+'RETAIL CREDIT'!CP81+'SECURED LOANS'!BT62</f>
        <v>80103159.08999999</v>
      </c>
      <c r="CP83" s="14">
        <f aca="true" t="shared" si="100" ref="CP83:CP94">+CO83/$CO$96</f>
        <v>0.37629852727547314</v>
      </c>
      <c r="CQ83" s="10">
        <f>+'CAR FINANCE'!CP82+'UNSECURED LOANS'!CS81+'RETAIL CREDIT'!CR81+'SECURED LOANS'!BV62</f>
        <v>10285</v>
      </c>
      <c r="CR83" s="14">
        <f aca="true" t="shared" si="101" ref="CR83:CR94">+CQ83/$CQ$96</f>
        <v>0.2554835183943165</v>
      </c>
      <c r="CS83" s="34"/>
      <c r="CT83" s="34"/>
      <c r="CU83" s="100">
        <f>+'CAR FINANCE'!CU82+'UNSECURED LOANS'!CX81+'RETAIL CREDIT'!CW81+'SECURED LOANS'!BY62</f>
        <v>101157866.3900001</v>
      </c>
      <c r="CV83" s="14">
        <f aca="true" t="shared" si="102" ref="CV83:CV94">+CU83/$CU$96</f>
        <v>0.4204192383224783</v>
      </c>
      <c r="CW83" s="10">
        <f>+'CAR FINANCE'!CW82+'UNSECURED LOANS'!CZ81+'RETAIL CREDIT'!CY81+'SECURED LOANS'!CA62</f>
        <v>13408</v>
      </c>
      <c r="CX83" s="14">
        <f aca="true" t="shared" si="103" ref="CX83:CX94">+CW83/$CW$96</f>
        <v>0.30678412080997597</v>
      </c>
      <c r="CY83" s="34"/>
      <c r="CZ83" s="34"/>
    </row>
    <row r="84" spans="1:104" ht="12.75">
      <c r="A84" s="8" t="s">
        <v>66</v>
      </c>
      <c r="B84" s="8"/>
      <c r="C84" s="8"/>
      <c r="D84" s="9">
        <f>+'SECURED LOANS'!D63+'RETAIL CREDIT'!D82+'UNSECURED LOANS'!D82+'CAR FINANCE'!D83</f>
        <v>30067636.730000015</v>
      </c>
      <c r="E84" s="14">
        <f aca="true" t="shared" si="104" ref="E84:E94">+D84/$D$96</f>
        <v>0.14753585935800492</v>
      </c>
      <c r="F84" s="10">
        <f>+'SECURED LOANS'!F63+'RETAIL CREDIT'!F82+'UNSECURED LOANS'!F82+'CAR FINANCE'!F83</f>
        <v>10946</v>
      </c>
      <c r="G84" s="14">
        <f aca="true" t="shared" si="105" ref="G84:G94">+F84/$F$96</f>
        <v>0.10840843814994552</v>
      </c>
      <c r="H84" s="14"/>
      <c r="I84" s="9">
        <v>26433980.57</v>
      </c>
      <c r="J84" s="14">
        <v>0.1513</v>
      </c>
      <c r="K84" s="10">
        <v>10741</v>
      </c>
      <c r="L84" s="14">
        <v>0.1319</v>
      </c>
      <c r="M84" s="56"/>
      <c r="N84" s="55"/>
      <c r="O84" s="56"/>
      <c r="P84" s="9">
        <f>+'CAR FINANCE'!P83+'UNSECURED LOANS'!R82+'RETAIL CREDIT'!Q82+'SECURED LOANS'!Q63</f>
        <v>37251897.00000004</v>
      </c>
      <c r="Q84" s="14">
        <f aca="true" t="shared" si="106" ref="Q84:Q94">+P84/$P$96</f>
        <v>0.16556929202924658</v>
      </c>
      <c r="R84" s="10">
        <f>+'CAR FINANCE'!R83+'UNSECURED LOANS'!T82+'RETAIL CREDIT'!S82+'SECURED LOANS'!S63</f>
        <v>9446</v>
      </c>
      <c r="S84" s="14">
        <f aca="true" t="shared" si="107" ref="S84:S94">+R84/$R$96</f>
        <v>0.10518579557475809</v>
      </c>
      <c r="T84" s="56"/>
      <c r="U84" s="55"/>
      <c r="V84" s="56"/>
      <c r="W84" s="9">
        <f>+'CAR FINANCE'!W83+'UNSECURED LOANS'!Y82+'RETAIL CREDIT'!X82+'SECURED LOANS'!V63</f>
        <v>38582887.54000002</v>
      </c>
      <c r="X84" s="14">
        <f aca="true" t="shared" si="108" ref="X84:X94">+W84/$P$96</f>
        <v>0.17148499509815127</v>
      </c>
      <c r="Y84" s="10">
        <f>+'CAR FINANCE'!Y83+'UNSECURED LOANS'!AA82+'RETAIL CREDIT'!Z82+'SECURED LOANS'!X63</f>
        <v>8611</v>
      </c>
      <c r="Z84" s="14">
        <f t="shared" si="82"/>
        <v>0.10328407618864846</v>
      </c>
      <c r="AA84" s="56"/>
      <c r="AB84" s="55"/>
      <c r="AC84" s="56"/>
      <c r="AD84" s="34"/>
      <c r="AE84" s="9">
        <f>+'CAR FINANCE'!AD83+'UNSECURED LOANS'!AF82+'RETAIL CREDIT'!AE82+'SECURED LOANS'!AA63</f>
        <v>37723878.90999998</v>
      </c>
      <c r="AF84" s="14">
        <f t="shared" si="83"/>
        <v>0.1623430508901807</v>
      </c>
      <c r="AG84" s="10">
        <f>+'CAR FINANCE'!AF83+'UNSECURED LOANS'!AH82+'RETAIL CREDIT'!AG82+'SECURED LOANS'!AC63</f>
        <v>8075</v>
      </c>
      <c r="AH84" s="14">
        <f t="shared" si="84"/>
        <v>0.10562459123610203</v>
      </c>
      <c r="AI84" s="56"/>
      <c r="AJ84" s="55"/>
      <c r="AK84" s="56"/>
      <c r="AL84" s="9">
        <f>+'CAR FINANCE'!AK83+'UNSECURED LOANS'!AM82+'RETAIL CREDIT'!AL82+'SECURED LOANS'!AF63</f>
        <v>36129776.80999999</v>
      </c>
      <c r="AM84" s="14">
        <f t="shared" si="85"/>
        <v>0.15809791845230814</v>
      </c>
      <c r="AN84" s="10">
        <f>+'CAR FINANCE'!AM83+'UNSECURED LOANS'!AO82+'RETAIL CREDIT'!AN82+'SECURED LOANS'!AH63</f>
        <v>8160</v>
      </c>
      <c r="AO84" s="14">
        <f t="shared" si="86"/>
        <v>0.10997452795859783</v>
      </c>
      <c r="AP84" s="56"/>
      <c r="AQ84" s="55"/>
      <c r="AR84" s="56"/>
      <c r="AS84" s="9">
        <f>+'CAR FINANCE'!AR83+'UNSECURED LOANS'!AT82+'RETAIL CREDIT'!AS82+'SECURED LOANS'!AK63</f>
        <v>35745196.669999994</v>
      </c>
      <c r="AT84" s="14">
        <f t="shared" si="87"/>
        <v>0.1581984778673121</v>
      </c>
      <c r="AU84" s="10">
        <f>+'CAR FINANCE'!AT83+'UNSECURED LOANS'!AV82+'RETAIL CREDIT'!AU82+'SECURED LOANS'!AM63</f>
        <v>8229</v>
      </c>
      <c r="AV84" s="14">
        <f t="shared" si="88"/>
        <v>0.11682448643507148</v>
      </c>
      <c r="AW84" s="56"/>
      <c r="AX84" s="55"/>
      <c r="AY84" s="56"/>
      <c r="AZ84" s="9">
        <f>+'CAR FINANCE'!AY83+'UNSECURED LOANS'!BA82+'RETAIL CREDIT'!AZ82+'SECURED LOANS'!AP63</f>
        <v>36922272.880000025</v>
      </c>
      <c r="BA84" s="14">
        <f aca="true" t="shared" si="109" ref="BA84:BA94">+AZ84/$AZ$96</f>
        <v>0.1397657610605408</v>
      </c>
      <c r="BB84" s="10">
        <f>+'CAR FINANCE'!BA83+'UNSECURED LOANS'!BC82+'RETAIL CREDIT'!BB82+'SECURED LOANS'!AR63</f>
        <v>8455</v>
      </c>
      <c r="BC84" s="14">
        <f t="shared" si="89"/>
        <v>0.11483247090141113</v>
      </c>
      <c r="BD84" s="56"/>
      <c r="BE84" s="55"/>
      <c r="BF84" s="56"/>
      <c r="BG84" s="9">
        <f>+'CAR FINANCE'!BE83+'UNSECURED LOANS'!BH82+'RETAIL CREDIT'!BG82+'SECURED LOANS'!AU63</f>
        <v>32381306.399999954</v>
      </c>
      <c r="BH84" s="14">
        <f t="shared" si="90"/>
        <v>0.13685192027740703</v>
      </c>
      <c r="BI84" s="10">
        <f>+'CAR FINANCE'!BG83+'UNSECURED LOANS'!BJ82+'RETAIL CREDIT'!BI82+'SECURED LOANS'!AW63</f>
        <v>7652</v>
      </c>
      <c r="BJ84" s="14">
        <f t="shared" si="91"/>
        <v>0.11856764336737066</v>
      </c>
      <c r="BK84" s="56"/>
      <c r="BL84" s="55"/>
      <c r="BM84" s="56"/>
      <c r="BN84" s="9">
        <f>+'CAR FINANCE'!BL83+'UNSECURED LOANS'!BO82+'RETAIL CREDIT'!BN82+'SECURED LOANS'!AZ63</f>
        <v>28392932.210000016</v>
      </c>
      <c r="BO84" s="14">
        <f t="shared" si="92"/>
        <v>0.1307771766121617</v>
      </c>
      <c r="BP84" s="10">
        <f>+'CAR FINANCE'!BN83+'UNSECURED LOANS'!BQ82+'RETAIL CREDIT'!BP82+'SECURED LOANS'!BB63</f>
        <v>6929</v>
      </c>
      <c r="BQ84" s="14">
        <f t="shared" si="93"/>
        <v>0.11915530257433234</v>
      </c>
      <c r="BR84" s="56"/>
      <c r="BS84" s="55"/>
      <c r="BT84" s="56"/>
      <c r="BU84" s="9">
        <f>+'CAR FINANCE'!BS83+'UNSECURED LOANS'!BV82+'RETAIL CREDIT'!BU82+'SECURED LOANS'!BE63</f>
        <v>27148364.30999998</v>
      </c>
      <c r="BV84" s="14">
        <f t="shared" si="94"/>
        <v>0.11697582279892652</v>
      </c>
      <c r="BW84" s="10">
        <f>+'CAR FINANCE'!BU83+'UNSECURED LOANS'!BX82+'RETAIL CREDIT'!BW82+'SECURED LOANS'!BG63</f>
        <v>6546</v>
      </c>
      <c r="BX84" s="14">
        <f t="shared" si="95"/>
        <v>0.11723409208947472</v>
      </c>
      <c r="BY84" s="56"/>
      <c r="BZ84" s="55"/>
      <c r="CA84" s="56"/>
      <c r="CB84" s="9">
        <f>+'CAR FINANCE'!BZ83+'UNSECURED LOANS'!CC82+'RETAIL CREDIT'!CB82+'SECURED LOANS'!BJ63</f>
        <v>25621329.170000046</v>
      </c>
      <c r="CC84" s="14">
        <f t="shared" si="96"/>
        <v>0.11003997767984836</v>
      </c>
      <c r="CD84" s="10">
        <f>+'CAR FINANCE'!CB83+'UNSECURED LOANS'!CE82+'RETAIL CREDIT'!CD82+'SECURED LOANS'!BL63</f>
        <v>6098</v>
      </c>
      <c r="CE84" s="14">
        <f t="shared" si="97"/>
        <v>0.11115972146268548</v>
      </c>
      <c r="CF84" s="56"/>
      <c r="CG84" s="55"/>
      <c r="CH84" s="56"/>
      <c r="CI84" s="9">
        <f>+'CAR FINANCE'!CG83+'UNSECURED LOANS'!CJ82+'RETAIL CREDIT'!CI82+'SECURED LOANS'!BO63</f>
        <v>22772348.220000014</v>
      </c>
      <c r="CJ84" s="14">
        <f t="shared" si="98"/>
        <v>0.10188010275764778</v>
      </c>
      <c r="CK84" s="10">
        <f>+'CAR FINANCE'!CI83+'UNSECURED LOANS'!CL82+'RETAIL CREDIT'!CK82+'SECURED LOANS'!BQ63</f>
        <v>5398</v>
      </c>
      <c r="CL84" s="14">
        <f t="shared" si="99"/>
        <v>0.11466564703883082</v>
      </c>
      <c r="CM84" s="56"/>
      <c r="CN84" s="55"/>
      <c r="CO84" s="9">
        <f>+'CAR FINANCE'!CN83+'UNSECURED LOANS'!CQ82+'RETAIL CREDIT'!CP82+'SECURED LOANS'!BT63</f>
        <v>55444591.919999905</v>
      </c>
      <c r="CP84" s="14">
        <f t="shared" si="100"/>
        <v>0.2604606175574687</v>
      </c>
      <c r="CQ84" s="10">
        <f>+'CAR FINANCE'!CP83+'UNSECURED LOANS'!CS82+'RETAIL CREDIT'!CR82+'SECURED LOANS'!BV63</f>
        <v>5909</v>
      </c>
      <c r="CR84" s="14">
        <f t="shared" si="101"/>
        <v>0.14678192612464913</v>
      </c>
      <c r="CS84" s="34"/>
      <c r="CT84" s="34"/>
      <c r="CU84" s="100">
        <f>+'CAR FINANCE'!CU83+'UNSECURED LOANS'!CX82+'RETAIL CREDIT'!CW82+'SECURED LOANS'!BY63</f>
        <v>66479767.56000014</v>
      </c>
      <c r="CV84" s="14">
        <f t="shared" si="102"/>
        <v>0.2762946099878751</v>
      </c>
      <c r="CW84" s="10">
        <f>+'CAR FINANCE'!CW83+'UNSECURED LOANS'!CZ82+'RETAIL CREDIT'!CY82+'SECURED LOANS'!CA63</f>
        <v>7740</v>
      </c>
      <c r="CX84" s="14">
        <f t="shared" si="103"/>
        <v>0.1770964420546848</v>
      </c>
      <c r="CY84" s="34"/>
      <c r="CZ84" s="34"/>
    </row>
    <row r="85" spans="1:104" ht="12.75">
      <c r="A85" s="8" t="s">
        <v>67</v>
      </c>
      <c r="B85" s="8"/>
      <c r="C85" s="8"/>
      <c r="D85" s="9">
        <f>+'SECURED LOANS'!D64+'RETAIL CREDIT'!D83+'UNSECURED LOANS'!D83+'CAR FINANCE'!D84</f>
        <v>30427151.790000044</v>
      </c>
      <c r="E85" s="14">
        <f t="shared" si="104"/>
        <v>0.14929992760871405</v>
      </c>
      <c r="F85" s="10">
        <f>+'SECURED LOANS'!F64+'RETAIL CREDIT'!F83+'UNSECURED LOANS'!F83+'CAR FINANCE'!F84</f>
        <v>9431</v>
      </c>
      <c r="G85" s="14">
        <f t="shared" si="105"/>
        <v>0.0934039813806081</v>
      </c>
      <c r="H85" s="14"/>
      <c r="I85" s="9">
        <v>27146002.67</v>
      </c>
      <c r="J85" s="14">
        <v>0.1554</v>
      </c>
      <c r="K85" s="10">
        <v>8426</v>
      </c>
      <c r="L85" s="14">
        <v>0.1034</v>
      </c>
      <c r="M85" s="56"/>
      <c r="N85" s="55"/>
      <c r="O85" s="56"/>
      <c r="P85" s="9">
        <f>+'CAR FINANCE'!P84+'UNSECURED LOANS'!R83+'RETAIL CREDIT'!Q83+'SECURED LOANS'!Q64</f>
        <v>26752906.200000025</v>
      </c>
      <c r="Q85" s="14">
        <f t="shared" si="106"/>
        <v>0.11890561544446558</v>
      </c>
      <c r="R85" s="10">
        <f>+'CAR FINANCE'!R84+'UNSECURED LOANS'!T83+'RETAIL CREDIT'!S83+'SECURED LOANS'!S64</f>
        <v>8657</v>
      </c>
      <c r="S85" s="14">
        <f t="shared" si="107"/>
        <v>0.09639989755353384</v>
      </c>
      <c r="T85" s="56"/>
      <c r="U85" s="55"/>
      <c r="V85" s="56"/>
      <c r="W85" s="9">
        <f>+'CAR FINANCE'!W84+'UNSECURED LOANS'!Y83+'RETAIL CREDIT'!X83+'SECURED LOANS'!V64</f>
        <v>37066151.87000002</v>
      </c>
      <c r="X85" s="14">
        <f t="shared" si="108"/>
        <v>0.1647437316645762</v>
      </c>
      <c r="Y85" s="10">
        <f>+'CAR FINANCE'!Y84+'UNSECURED LOANS'!AA83+'RETAIL CREDIT'!Z83+'SECURED LOANS'!X64</f>
        <v>9130</v>
      </c>
      <c r="Z85" s="14">
        <f t="shared" si="82"/>
        <v>0.10950918773689008</v>
      </c>
      <c r="AA85" s="56"/>
      <c r="AB85" s="55"/>
      <c r="AC85" s="56"/>
      <c r="AD85" s="34"/>
      <c r="AE85" s="9">
        <f>+'CAR FINANCE'!AD84+'UNSECURED LOANS'!AF83+'RETAIL CREDIT'!AE83+'SECURED LOANS'!AA64</f>
        <v>34696301.160000026</v>
      </c>
      <c r="AF85" s="14">
        <f t="shared" si="83"/>
        <v>0.149314003428894</v>
      </c>
      <c r="AG85" s="10">
        <f>+'CAR FINANCE'!AF84+'UNSECURED LOANS'!AH83+'RETAIL CREDIT'!AG83+'SECURED LOANS'!AC64</f>
        <v>8296</v>
      </c>
      <c r="AH85" s="14">
        <f t="shared" si="84"/>
        <v>0.10851536952256377</v>
      </c>
      <c r="AI85" s="56"/>
      <c r="AJ85" s="55"/>
      <c r="AK85" s="56"/>
      <c r="AL85" s="9">
        <f>+'CAR FINANCE'!AK84+'UNSECURED LOANS'!AM83+'RETAIL CREDIT'!AL83+'SECURED LOANS'!AF64</f>
        <v>31479992.280000016</v>
      </c>
      <c r="AM85" s="14">
        <f t="shared" si="85"/>
        <v>0.13775123158206784</v>
      </c>
      <c r="AN85" s="10">
        <f>+'CAR FINANCE'!AM84+'UNSECURED LOANS'!AO83+'RETAIL CREDIT'!AN83+'SECURED LOANS'!AH64</f>
        <v>7640</v>
      </c>
      <c r="AO85" s="14">
        <f t="shared" si="86"/>
        <v>0.10296634725535385</v>
      </c>
      <c r="AP85" s="56"/>
      <c r="AQ85" s="55"/>
      <c r="AR85" s="56"/>
      <c r="AS85" s="9">
        <f>+'CAR FINANCE'!AR84+'UNSECURED LOANS'!AT83+'RETAIL CREDIT'!AS83+'SECURED LOANS'!AK64</f>
        <v>29177588.840000022</v>
      </c>
      <c r="AT85" s="14">
        <f t="shared" si="87"/>
        <v>0.12913203933216116</v>
      </c>
      <c r="AU85" s="10">
        <f>+'CAR FINANCE'!AT84+'UNSECURED LOANS'!AV83+'RETAIL CREDIT'!AU83+'SECURED LOANS'!AM64</f>
        <v>7093</v>
      </c>
      <c r="AV85" s="14">
        <f t="shared" si="88"/>
        <v>0.10069705702806683</v>
      </c>
      <c r="AW85" s="56"/>
      <c r="AX85" s="55"/>
      <c r="AY85" s="56"/>
      <c r="AZ85" s="9">
        <f>+'CAR FINANCE'!AY84+'UNSECURED LOANS'!BA83+'RETAIL CREDIT'!AZ83+'SECURED LOANS'!AP64</f>
        <v>27374989.449999973</v>
      </c>
      <c r="BA85" s="14">
        <f t="shared" si="109"/>
        <v>0.10362542541567173</v>
      </c>
      <c r="BB85" s="10">
        <f>+'CAR FINANCE'!BA84+'UNSECURED LOANS'!BC83+'RETAIL CREDIT'!BB83+'SECURED LOANS'!AR64</f>
        <v>6647</v>
      </c>
      <c r="BC85" s="14">
        <f t="shared" si="89"/>
        <v>0.09027692892746064</v>
      </c>
      <c r="BD85" s="56"/>
      <c r="BE85" s="55"/>
      <c r="BF85" s="56"/>
      <c r="BG85" s="9">
        <f>+'CAR FINANCE'!BE84+'UNSECURED LOANS'!BH83+'RETAIL CREDIT'!BG83+'SECURED LOANS'!AU64</f>
        <v>23603888.54</v>
      </c>
      <c r="BH85" s="14">
        <f t="shared" si="90"/>
        <v>0.09975624308699559</v>
      </c>
      <c r="BI85" s="10">
        <f>+'CAR FINANCE'!BG84+'UNSECURED LOANS'!BJ83+'RETAIL CREDIT'!BI83+'SECURED LOANS'!AW64</f>
        <v>5813</v>
      </c>
      <c r="BJ85" s="14">
        <f t="shared" si="91"/>
        <v>0.0900723615910253</v>
      </c>
      <c r="BK85" s="56"/>
      <c r="BL85" s="55"/>
      <c r="BM85" s="56"/>
      <c r="BN85" s="9">
        <f>+'CAR FINANCE'!BL84+'UNSECURED LOANS'!BO83+'RETAIL CREDIT'!BN83+'SECURED LOANS'!AZ64</f>
        <v>20377143.359999985</v>
      </c>
      <c r="BO85" s="14">
        <f t="shared" si="92"/>
        <v>0.09385664208022475</v>
      </c>
      <c r="BP85" s="10">
        <f>+'CAR FINANCE'!BN84+'UNSECURED LOANS'!BQ83+'RETAIL CREDIT'!BP83+'SECURED LOANS'!BB64</f>
        <v>5170</v>
      </c>
      <c r="BQ85" s="14">
        <f t="shared" si="93"/>
        <v>0.08890646764458049</v>
      </c>
      <c r="BR85" s="56"/>
      <c r="BS85" s="55"/>
      <c r="BT85" s="56"/>
      <c r="BU85" s="9">
        <f>+'CAR FINANCE'!BS84+'UNSECURED LOANS'!BV83+'RETAIL CREDIT'!BU83+'SECURED LOANS'!BE64</f>
        <v>18683234.209999997</v>
      </c>
      <c r="BV85" s="14">
        <f t="shared" si="94"/>
        <v>0.08050159741869925</v>
      </c>
      <c r="BW85" s="10">
        <f>+'CAR FINANCE'!BU84+'UNSECURED LOANS'!BX83+'RETAIL CREDIT'!BW83+'SECURED LOANS'!BG64</f>
        <v>4797</v>
      </c>
      <c r="BX85" s="14">
        <f t="shared" si="95"/>
        <v>0.08591077600873973</v>
      </c>
      <c r="BY85" s="56"/>
      <c r="BZ85" s="55"/>
      <c r="CA85" s="56"/>
      <c r="CB85" s="9">
        <f>+'CAR FINANCE'!BZ84+'UNSECURED LOANS'!CC83+'RETAIL CREDIT'!CB83+'SECURED LOANS'!BJ64</f>
        <v>16860743.320000015</v>
      </c>
      <c r="CC85" s="14">
        <f t="shared" si="96"/>
        <v>0.07241450302160302</v>
      </c>
      <c r="CD85" s="10">
        <f>+'CAR FINANCE'!CB84+'UNSECURED LOANS'!CE83+'RETAIL CREDIT'!CD83+'SECURED LOANS'!BL64</f>
        <v>4469</v>
      </c>
      <c r="CE85" s="14">
        <f t="shared" si="97"/>
        <v>0.08146487294469357</v>
      </c>
      <c r="CF85" s="56"/>
      <c r="CG85" s="55"/>
      <c r="CH85" s="56"/>
      <c r="CI85" s="9">
        <f>+'CAR FINANCE'!CG84+'UNSECURED LOANS'!CJ83+'RETAIL CREDIT'!CI83+'SECURED LOANS'!BO64</f>
        <v>13994068.97000001</v>
      </c>
      <c r="CJ85" s="14">
        <f t="shared" si="98"/>
        <v>0.06260738554002361</v>
      </c>
      <c r="CK85" s="10">
        <f>+'CAR FINANCE'!CI84+'UNSECURED LOANS'!CL83+'RETAIL CREDIT'!CK83+'SECURED LOANS'!BQ64</f>
        <v>3751</v>
      </c>
      <c r="CL85" s="14">
        <f t="shared" si="99"/>
        <v>0.07967966692157362</v>
      </c>
      <c r="CM85" s="56"/>
      <c r="CN85" s="55"/>
      <c r="CO85" s="9">
        <f>+'CAR FINANCE'!CN84+'UNSECURED LOANS'!CQ83+'RETAIL CREDIT'!CP83+'SECURED LOANS'!BT64</f>
        <v>16984997.010000005</v>
      </c>
      <c r="CP85" s="14">
        <f t="shared" si="100"/>
        <v>0.07978997873804476</v>
      </c>
      <c r="CQ85" s="10">
        <f>+'CAR FINANCE'!CP84+'UNSECURED LOANS'!CS83+'RETAIL CREDIT'!CR83+'SECURED LOANS'!BV64</f>
        <v>3601</v>
      </c>
      <c r="CR85" s="14">
        <f t="shared" si="101"/>
        <v>0.08945028193854485</v>
      </c>
      <c r="CS85" s="34"/>
      <c r="CT85" s="34"/>
      <c r="CU85" s="100">
        <f>+'CAR FINANCE'!CU84+'UNSECURED LOANS'!CX83+'RETAIL CREDIT'!CW83+'SECURED LOANS'!BY64</f>
        <v>18686671.120000012</v>
      </c>
      <c r="CV85" s="14">
        <f t="shared" si="102"/>
        <v>0.07766312516680048</v>
      </c>
      <c r="CW85" s="10">
        <f>+'CAR FINANCE'!CW84+'UNSECURED LOANS'!CZ83+'RETAIL CREDIT'!CY83+'SECURED LOANS'!CA64</f>
        <v>3996</v>
      </c>
      <c r="CX85" s="14">
        <f t="shared" si="103"/>
        <v>0.09143118636311635</v>
      </c>
      <c r="CY85" s="34"/>
      <c r="CZ85" s="34"/>
    </row>
    <row r="86" spans="1:104" ht="12.75">
      <c r="A86" s="8" t="s">
        <v>68</v>
      </c>
      <c r="B86" s="8"/>
      <c r="C86" s="8"/>
      <c r="D86" s="9">
        <f>+'SECURED LOANS'!D65+'RETAIL CREDIT'!D84+'UNSECURED LOANS'!D84+'CAR FINANCE'!D85</f>
        <v>40470219.010000005</v>
      </c>
      <c r="E86" s="14">
        <f t="shared" si="104"/>
        <v>0.1985792429801986</v>
      </c>
      <c r="F86" s="10">
        <f>+'SECURED LOANS'!F65+'RETAIL CREDIT'!F84+'UNSECURED LOANS'!F84+'CAR FINANCE'!F85</f>
        <v>10224</v>
      </c>
      <c r="G86" s="14">
        <f t="shared" si="105"/>
        <v>0.1012577993463405</v>
      </c>
      <c r="H86" s="14"/>
      <c r="I86" s="9">
        <v>36523107.56</v>
      </c>
      <c r="J86" s="14">
        <v>0.209</v>
      </c>
      <c r="K86" s="10">
        <v>9321</v>
      </c>
      <c r="L86" s="14">
        <v>0.1144</v>
      </c>
      <c r="M86" s="56"/>
      <c r="N86" s="55"/>
      <c r="O86" s="56"/>
      <c r="P86" s="9">
        <f>+'CAR FINANCE'!P85+'UNSECURED LOANS'!R84+'RETAIL CREDIT'!Q84+'SECURED LOANS'!Q65</f>
        <v>55885322.17999993</v>
      </c>
      <c r="Q86" s="14">
        <f t="shared" si="106"/>
        <v>0.2483871687975764</v>
      </c>
      <c r="R86" s="10">
        <f>+'CAR FINANCE'!R85+'UNSECURED LOANS'!T84+'RETAIL CREDIT'!S84+'SECURED LOANS'!S65</f>
        <v>11247</v>
      </c>
      <c r="S86" s="14">
        <f t="shared" si="107"/>
        <v>0.12524080487288844</v>
      </c>
      <c r="T86" s="56"/>
      <c r="U86" s="55"/>
      <c r="V86" s="56"/>
      <c r="W86" s="9">
        <f>+'CAR FINANCE'!W85+'UNSECURED LOANS'!Y84+'RETAIL CREDIT'!X84+'SECURED LOANS'!V65</f>
        <v>43984921.34999991</v>
      </c>
      <c r="X86" s="14">
        <f t="shared" si="108"/>
        <v>0.19549480360373514</v>
      </c>
      <c r="Y86" s="10">
        <f>+'CAR FINANCE'!Y85+'UNSECURED LOANS'!AA84+'RETAIL CREDIT'!Z84+'SECURED LOANS'!X65</f>
        <v>9716</v>
      </c>
      <c r="Z86" s="14">
        <f t="shared" si="82"/>
        <v>0.1165379264021494</v>
      </c>
      <c r="AA86" s="56"/>
      <c r="AB86" s="55"/>
      <c r="AC86" s="56"/>
      <c r="AD86" s="34"/>
      <c r="AE86" s="9">
        <f>+'CAR FINANCE'!AD85+'UNSECURED LOANS'!AF84+'RETAIL CREDIT'!AE84+'SECURED LOANS'!AA65</f>
        <v>41286713.50000003</v>
      </c>
      <c r="AF86" s="14">
        <f t="shared" si="83"/>
        <v>0.17767555258062454</v>
      </c>
      <c r="AG86" s="10">
        <f>+'CAR FINANCE'!AF85+'UNSECURED LOANS'!AH84+'RETAIL CREDIT'!AG84+'SECURED LOANS'!AC65</f>
        <v>9044</v>
      </c>
      <c r="AH86" s="14">
        <f t="shared" si="84"/>
        <v>0.11829954218443427</v>
      </c>
      <c r="AI86" s="56"/>
      <c r="AJ86" s="55"/>
      <c r="AK86" s="56"/>
      <c r="AL86" s="9">
        <f>+'CAR FINANCE'!AK85+'UNSECURED LOANS'!AM84+'RETAIL CREDIT'!AL84+'SECURED LOANS'!AF65</f>
        <v>37064060.26000002</v>
      </c>
      <c r="AM86" s="14">
        <f t="shared" si="85"/>
        <v>0.16218618806621185</v>
      </c>
      <c r="AN86" s="10">
        <f>+'CAR FINANCE'!AM85+'UNSECURED LOANS'!AO84+'RETAIL CREDIT'!AN84+'SECURED LOANS'!AH65</f>
        <v>8513</v>
      </c>
      <c r="AO86" s="14">
        <f t="shared" si="86"/>
        <v>0.11473200447445384</v>
      </c>
      <c r="AP86" s="56"/>
      <c r="AQ86" s="55"/>
      <c r="AR86" s="56"/>
      <c r="AS86" s="9">
        <f>+'CAR FINANCE'!AR85+'UNSECURED LOANS'!AT84+'RETAIL CREDIT'!AS84+'SECURED LOANS'!AK65</f>
        <v>33719691.68999999</v>
      </c>
      <c r="AT86" s="14">
        <f t="shared" si="87"/>
        <v>0.14923414602415871</v>
      </c>
      <c r="AU86" s="10">
        <f>+'CAR FINANCE'!AT85+'UNSECURED LOANS'!AV84+'RETAIL CREDIT'!AU84+'SECURED LOANS'!AM65</f>
        <v>7831</v>
      </c>
      <c r="AV86" s="14">
        <f t="shared" si="88"/>
        <v>0.11117420747029344</v>
      </c>
      <c r="AW86" s="56"/>
      <c r="AX86" s="55"/>
      <c r="AY86" s="56"/>
      <c r="AZ86" s="9">
        <f>+'CAR FINANCE'!AY85+'UNSECURED LOANS'!BA84+'RETAIL CREDIT'!AZ84+'SECURED LOANS'!AP65</f>
        <v>31798696.229999974</v>
      </c>
      <c r="BA86" s="14">
        <f t="shared" si="109"/>
        <v>0.12037094774103985</v>
      </c>
      <c r="BB86" s="10">
        <f>+'CAR FINANCE'!BA85+'UNSECURED LOANS'!BC84+'RETAIL CREDIT'!BB84+'SECURED LOANS'!AR65</f>
        <v>7217</v>
      </c>
      <c r="BC86" s="14">
        <f t="shared" si="89"/>
        <v>0.09801844381969062</v>
      </c>
      <c r="BD86" s="56"/>
      <c r="BE86" s="55"/>
      <c r="BF86" s="56"/>
      <c r="BG86" s="9">
        <f>+'CAR FINANCE'!BE85+'UNSECURED LOANS'!BH84+'RETAIL CREDIT'!BG84+'SECURED LOANS'!AU65</f>
        <v>27486526.00999999</v>
      </c>
      <c r="BH86" s="14">
        <f t="shared" si="90"/>
        <v>0.11616529054625785</v>
      </c>
      <c r="BI86" s="10">
        <f>+'CAR FINANCE'!BG85+'UNSECURED LOANS'!BJ84+'RETAIL CREDIT'!BI84+'SECURED LOANS'!AW65</f>
        <v>6267</v>
      </c>
      <c r="BJ86" s="14">
        <f t="shared" si="91"/>
        <v>0.09710708585772503</v>
      </c>
      <c r="BK86" s="56"/>
      <c r="BL86" s="55"/>
      <c r="BM86" s="56"/>
      <c r="BN86" s="9">
        <f>+'CAR FINANCE'!BL85+'UNSECURED LOANS'!BO84+'RETAIL CREDIT'!BN84+'SECURED LOANS'!AZ65</f>
        <v>23923835.100000016</v>
      </c>
      <c r="BO86" s="14">
        <f t="shared" si="92"/>
        <v>0.11019262064842347</v>
      </c>
      <c r="BP86" s="10">
        <f>+'CAR FINANCE'!BN85+'UNSECURED LOANS'!BQ84+'RETAIL CREDIT'!BP84+'SECURED LOANS'!BB65</f>
        <v>5558</v>
      </c>
      <c r="BQ86" s="14">
        <f t="shared" si="93"/>
        <v>0.0955787518701312</v>
      </c>
      <c r="BR86" s="56"/>
      <c r="BS86" s="55"/>
      <c r="BT86" s="56"/>
      <c r="BU86" s="9">
        <f>+'CAR FINANCE'!BS85+'UNSECURED LOANS'!BV84+'RETAIL CREDIT'!BU84+'SECURED LOANS'!BE65</f>
        <v>21922073.40000002</v>
      </c>
      <c r="BV86" s="14">
        <f t="shared" si="94"/>
        <v>0.09445698253278909</v>
      </c>
      <c r="BW86" s="10">
        <f>+'CAR FINANCE'!BU85+'UNSECURED LOANS'!BX84+'RETAIL CREDIT'!BW84+'SECURED LOANS'!BG65</f>
        <v>5054</v>
      </c>
      <c r="BX86" s="14">
        <f t="shared" si="95"/>
        <v>0.09051345881762989</v>
      </c>
      <c r="BY86" s="56"/>
      <c r="BZ86" s="55"/>
      <c r="CA86" s="56"/>
      <c r="CB86" s="9">
        <f>+'CAR FINANCE'!BZ85+'UNSECURED LOANS'!CC84+'RETAIL CREDIT'!CB84+'SECURED LOANS'!BJ65</f>
        <v>19591676.76</v>
      </c>
      <c r="CC86" s="14">
        <f t="shared" si="96"/>
        <v>0.08414347511312974</v>
      </c>
      <c r="CD86" s="10">
        <f>+'CAR FINANCE'!CB85+'UNSECURED LOANS'!CE84+'RETAIL CREDIT'!CD84+'SECURED LOANS'!BL65</f>
        <v>4730</v>
      </c>
      <c r="CE86" s="14">
        <f t="shared" si="97"/>
        <v>0.08622261110503482</v>
      </c>
      <c r="CF86" s="56"/>
      <c r="CG86" s="55"/>
      <c r="CH86" s="56"/>
      <c r="CI86" s="9">
        <f>+'CAR FINANCE'!CG85+'UNSECURED LOANS'!CJ84+'RETAIL CREDIT'!CI84+'SECURED LOANS'!BO65</f>
        <v>19857770.04000002</v>
      </c>
      <c r="CJ86" s="14">
        <f t="shared" si="98"/>
        <v>0.0888407129852391</v>
      </c>
      <c r="CK86" s="10">
        <f>+'CAR FINANCE'!CI85+'UNSECURED LOANS'!CL84+'RETAIL CREDIT'!CK84+'SECURED LOANS'!BQ65</f>
        <v>4582</v>
      </c>
      <c r="CL86" s="14">
        <f t="shared" si="99"/>
        <v>0.0973319738295522</v>
      </c>
      <c r="CM86" s="56"/>
      <c r="CN86" s="55"/>
      <c r="CO86" s="9">
        <f>+'CAR FINANCE'!CN85+'UNSECURED LOANS'!CQ84+'RETAIL CREDIT'!CP84+'SECURED LOANS'!BT65</f>
        <v>14040760.679999998</v>
      </c>
      <c r="CP86" s="14">
        <f t="shared" si="100"/>
        <v>0.0659589162991071</v>
      </c>
      <c r="CQ86" s="10">
        <f>+'CAR FINANCE'!CP85+'UNSECURED LOANS'!CS84+'RETAIL CREDIT'!CR84+'SECURED LOANS'!BV65</f>
        <v>3606</v>
      </c>
      <c r="CR86" s="14">
        <f t="shared" si="101"/>
        <v>0.08957448394068113</v>
      </c>
      <c r="CS86" s="34"/>
      <c r="CT86" s="34"/>
      <c r="CU86" s="100">
        <f>+'CAR FINANCE'!CU85+'UNSECURED LOANS'!CX84+'RETAIL CREDIT'!CW84+'SECURED LOANS'!BY65</f>
        <v>12546466.300000008</v>
      </c>
      <c r="CV86" s="14">
        <f t="shared" si="102"/>
        <v>0.052144000202104704</v>
      </c>
      <c r="CW86" s="10">
        <f>+'CAR FINANCE'!CW85+'UNSECURED LOANS'!CZ84+'RETAIL CREDIT'!CY84+'SECURED LOANS'!CA65</f>
        <v>3238</v>
      </c>
      <c r="CX86" s="14">
        <f t="shared" si="103"/>
        <v>0.07408763299393661</v>
      </c>
      <c r="CY86" s="34"/>
      <c r="CZ86" s="34"/>
    </row>
    <row r="87" spans="1:104" ht="12.75">
      <c r="A87" s="8" t="s">
        <v>69</v>
      </c>
      <c r="B87" s="8"/>
      <c r="C87" s="8"/>
      <c r="D87" s="9">
        <f>+'SECURED LOANS'!D66+'RETAIL CREDIT'!D85+'UNSECURED LOANS'!D85+'CAR FINANCE'!D86</f>
        <v>11047617.790000001</v>
      </c>
      <c r="E87" s="14">
        <f t="shared" si="104"/>
        <v>0.05420844342183299</v>
      </c>
      <c r="F87" s="10">
        <f>+'SECURED LOANS'!F66+'RETAIL CREDIT'!F85+'UNSECURED LOANS'!F85+'CAR FINANCE'!F86</f>
        <v>5763</v>
      </c>
      <c r="G87" s="14">
        <f t="shared" si="105"/>
        <v>0.05707635931464791</v>
      </c>
      <c r="H87" s="14"/>
      <c r="I87" s="9">
        <v>9544635.94</v>
      </c>
      <c r="J87" s="14">
        <v>0.0546</v>
      </c>
      <c r="K87" s="10">
        <v>5207</v>
      </c>
      <c r="L87" s="14">
        <v>0.0639</v>
      </c>
      <c r="M87" s="56"/>
      <c r="N87" s="55"/>
      <c r="O87" s="56"/>
      <c r="P87" s="9">
        <f>+'CAR FINANCE'!P86+'UNSECURED LOANS'!R85+'RETAIL CREDIT'!Q85+'SECURED LOANS'!Q66</f>
        <v>11025895.23</v>
      </c>
      <c r="Q87" s="14">
        <f t="shared" si="106"/>
        <v>0.04900554909243266</v>
      </c>
      <c r="R87" s="10">
        <f>+'CAR FINANCE'!R86+'UNSECURED LOANS'!T85+'RETAIL CREDIT'!S85+'SECURED LOANS'!S66</f>
        <v>5875</v>
      </c>
      <c r="S87" s="14">
        <f t="shared" si="107"/>
        <v>0.06542097702749351</v>
      </c>
      <c r="T87" s="56"/>
      <c r="U87" s="55"/>
      <c r="V87" s="56"/>
      <c r="W87" s="9">
        <f>+'CAR FINANCE'!W86+'UNSECURED LOANS'!Y85+'RETAIL CREDIT'!X85+'SECURED LOANS'!V66</f>
        <v>12852257.92</v>
      </c>
      <c r="X87" s="14">
        <f t="shared" si="108"/>
        <v>0.05712297671153969</v>
      </c>
      <c r="Y87" s="10">
        <f>+'CAR FINANCE'!Y86+'UNSECURED LOANS'!AA85+'RETAIL CREDIT'!Z85+'SECURED LOANS'!X66</f>
        <v>6079</v>
      </c>
      <c r="Z87" s="14">
        <f t="shared" si="82"/>
        <v>0.07291416782612868</v>
      </c>
      <c r="AA87" s="56"/>
      <c r="AB87" s="55"/>
      <c r="AC87" s="56"/>
      <c r="AD87" s="34"/>
      <c r="AE87" s="9">
        <f>+'CAR FINANCE'!AD86+'UNSECURED LOANS'!AF85+'RETAIL CREDIT'!AE85+'SECURED LOANS'!AA66</f>
        <v>13476480.309999991</v>
      </c>
      <c r="AF87" s="14">
        <f t="shared" si="83"/>
        <v>0.05799543928148103</v>
      </c>
      <c r="AG87" s="10">
        <f>+'CAR FINANCE'!AF86+'UNSECURED LOANS'!AH85+'RETAIL CREDIT'!AG85+'SECURED LOANS'!AC66</f>
        <v>5727</v>
      </c>
      <c r="AH87" s="14">
        <f t="shared" si="84"/>
        <v>0.07491170699803794</v>
      </c>
      <c r="AI87" s="56"/>
      <c r="AJ87" s="55"/>
      <c r="AK87" s="56"/>
      <c r="AL87" s="9">
        <f>+'CAR FINANCE'!AK86+'UNSECURED LOANS'!AM85+'RETAIL CREDIT'!AL85+'SECURED LOANS'!AF66</f>
        <v>13736900.280000001</v>
      </c>
      <c r="AM87" s="14">
        <f t="shared" si="85"/>
        <v>0.06011040011887994</v>
      </c>
      <c r="AN87" s="10">
        <f>+'CAR FINANCE'!AM86+'UNSECURED LOANS'!AO85+'RETAIL CREDIT'!AN85+'SECURED LOANS'!AH66</f>
        <v>5333</v>
      </c>
      <c r="AO87" s="14">
        <f t="shared" si="86"/>
        <v>0.07187428402000028</v>
      </c>
      <c r="AP87" s="56"/>
      <c r="AQ87" s="55"/>
      <c r="AR87" s="56"/>
      <c r="AS87" s="9">
        <f>+'CAR FINANCE'!AR86+'UNSECURED LOANS'!AT85+'RETAIL CREDIT'!AS85+'SECURED LOANS'!AK66</f>
        <v>14191677.389999997</v>
      </c>
      <c r="AT87" s="14">
        <f t="shared" si="87"/>
        <v>0.06280848815041498</v>
      </c>
      <c r="AU87" s="10">
        <f>+'CAR FINANCE'!AT86+'UNSECURED LOANS'!AV85+'RETAIL CREDIT'!AU85+'SECURED LOANS'!AM66</f>
        <v>4986</v>
      </c>
      <c r="AV87" s="14">
        <f t="shared" si="88"/>
        <v>0.07078465054870171</v>
      </c>
      <c r="AW87" s="56"/>
      <c r="AX87" s="55"/>
      <c r="AY87" s="56"/>
      <c r="AZ87" s="9">
        <f>+'CAR FINANCE'!AY86+'UNSECURED LOANS'!BA85+'RETAIL CREDIT'!AZ85+'SECURED LOANS'!AP66</f>
        <v>13564944.66</v>
      </c>
      <c r="BA87" s="14">
        <f t="shared" si="109"/>
        <v>0.05134881106347041</v>
      </c>
      <c r="BB87" s="10">
        <f>+'CAR FINANCE'!BA86+'UNSECURED LOANS'!BC85+'RETAIL CREDIT'!BB85+'SECURED LOANS'!AR66</f>
        <v>4902</v>
      </c>
      <c r="BC87" s="14">
        <f t="shared" si="89"/>
        <v>0.06657702807317768</v>
      </c>
      <c r="BD87" s="56"/>
      <c r="BE87" s="55"/>
      <c r="BF87" s="56"/>
      <c r="BG87" s="9">
        <f>+'CAR FINANCE'!BE86+'UNSECURED LOANS'!BH85+'RETAIL CREDIT'!BG85+'SECURED LOANS'!AU66</f>
        <v>12260840.929999998</v>
      </c>
      <c r="BH87" s="14">
        <f t="shared" si="90"/>
        <v>0.05181753956308357</v>
      </c>
      <c r="BI87" s="10">
        <f>+'CAR FINANCE'!BG86+'UNSECURED LOANS'!BJ85+'RETAIL CREDIT'!BI85+'SECURED LOANS'!AW66</f>
        <v>4485</v>
      </c>
      <c r="BJ87" s="14">
        <f t="shared" si="91"/>
        <v>0.06949501836156004</v>
      </c>
      <c r="BK87" s="56"/>
      <c r="BL87" s="55"/>
      <c r="BM87" s="56"/>
      <c r="BN87" s="9">
        <f>+'CAR FINANCE'!BL86+'UNSECURED LOANS'!BO85+'RETAIL CREDIT'!BN85+'SECURED LOANS'!AZ66</f>
        <v>11164172.409999995</v>
      </c>
      <c r="BO87" s="14">
        <f t="shared" si="92"/>
        <v>0.051421915010136654</v>
      </c>
      <c r="BP87" s="10">
        <f>+'CAR FINANCE'!BN86+'UNSECURED LOANS'!BQ85+'RETAIL CREDIT'!BP85+'SECURED LOANS'!BB66</f>
        <v>4028</v>
      </c>
      <c r="BQ87" s="14">
        <f t="shared" si="93"/>
        <v>0.06926794036216058</v>
      </c>
      <c r="BR87" s="56"/>
      <c r="BS87" s="55"/>
      <c r="BT87" s="56"/>
      <c r="BU87" s="9">
        <f>+'CAR FINANCE'!BS86+'UNSECURED LOANS'!BV85+'RETAIL CREDIT'!BU85+'SECURED LOANS'!BE66</f>
        <v>10290598.529999997</v>
      </c>
      <c r="BV87" s="14">
        <f t="shared" si="94"/>
        <v>0.044339733193309805</v>
      </c>
      <c r="BW87" s="10">
        <f>+'CAR FINANCE'!BU86+'UNSECURED LOANS'!BX85+'RETAIL CREDIT'!BW85+'SECURED LOANS'!BG66</f>
        <v>3767</v>
      </c>
      <c r="BX87" s="14">
        <f t="shared" si="95"/>
        <v>0.06746422622991922</v>
      </c>
      <c r="BY87" s="56"/>
      <c r="BZ87" s="55"/>
      <c r="CA87" s="56"/>
      <c r="CB87" s="9">
        <f>+'CAR FINANCE'!BZ86+'UNSECURED LOANS'!CC85+'RETAIL CREDIT'!CB85+'SECURED LOANS'!BJ66</f>
        <v>9456601.619999995</v>
      </c>
      <c r="CC87" s="14">
        <f t="shared" si="96"/>
        <v>0.040614763749667535</v>
      </c>
      <c r="CD87" s="10">
        <f>+'CAR FINANCE'!CB86+'UNSECURED LOANS'!CE85+'RETAIL CREDIT'!CD85+'SECURED LOANS'!BL66</f>
        <v>3538</v>
      </c>
      <c r="CE87" s="14">
        <f t="shared" si="97"/>
        <v>0.06449378395129243</v>
      </c>
      <c r="CF87" s="56"/>
      <c r="CG87" s="55"/>
      <c r="CH87" s="56"/>
      <c r="CI87" s="9">
        <f>+'CAR FINANCE'!CG86+'UNSECURED LOANS'!CJ85+'RETAIL CREDIT'!CI85+'SECURED LOANS'!BO66</f>
        <v>8538332.389999997</v>
      </c>
      <c r="CJ87" s="14">
        <f t="shared" si="98"/>
        <v>0.038199230613739116</v>
      </c>
      <c r="CK87" s="10">
        <f>+'CAR FINANCE'!CI86+'UNSECURED LOANS'!CL85+'RETAIL CREDIT'!CK85+'SECURED LOANS'!BQ66</f>
        <v>3127</v>
      </c>
      <c r="CL87" s="14">
        <f t="shared" si="99"/>
        <v>0.06642450505565468</v>
      </c>
      <c r="CM87" s="56"/>
      <c r="CN87" s="55"/>
      <c r="CO87" s="9">
        <f>+'CAR FINANCE'!CN86+'UNSECURED LOANS'!CQ85+'RETAIL CREDIT'!CP85+'SECURED LOANS'!BT66</f>
        <v>12401580.98</v>
      </c>
      <c r="CP87" s="14">
        <f t="shared" si="100"/>
        <v>0.05825858445131043</v>
      </c>
      <c r="CQ87" s="10">
        <f>+'CAR FINANCE'!CP86+'UNSECURED LOANS'!CS85+'RETAIL CREDIT'!CR85+'SECURED LOANS'!BV66</f>
        <v>3288</v>
      </c>
      <c r="CR87" s="14">
        <f t="shared" si="101"/>
        <v>0.08167523660481407</v>
      </c>
      <c r="CS87" s="34"/>
      <c r="CT87" s="34"/>
      <c r="CU87" s="100">
        <f>+'CAR FINANCE'!CU86+'UNSECURED LOANS'!CX85+'RETAIL CREDIT'!CW85+'SECURED LOANS'!BY66</f>
        <v>11227079.030000001</v>
      </c>
      <c r="CV87" s="14">
        <f t="shared" si="102"/>
        <v>0.046660533508894465</v>
      </c>
      <c r="CW87" s="10">
        <f>+'CAR FINANCE'!CW86+'UNSECURED LOANS'!CZ85+'RETAIL CREDIT'!CY85+'SECURED LOANS'!CA66</f>
        <v>2984</v>
      </c>
      <c r="CX87" s="14">
        <f t="shared" si="103"/>
        <v>0.06827594096785265</v>
      </c>
      <c r="CY87" s="34"/>
      <c r="CZ87" s="34"/>
    </row>
    <row r="88" spans="1:104" ht="12.75">
      <c r="A88" s="8" t="s">
        <v>70</v>
      </c>
      <c r="B88" s="8"/>
      <c r="C88" s="8"/>
      <c r="D88" s="9">
        <f>+'SECURED LOANS'!D67+'RETAIL CREDIT'!D86+'UNSECURED LOANS'!D86+'CAR FINANCE'!D87</f>
        <v>9623600.9</v>
      </c>
      <c r="E88" s="14">
        <f t="shared" si="104"/>
        <v>0.04722107831917952</v>
      </c>
      <c r="F88" s="10">
        <f>+'SECURED LOANS'!F67+'RETAIL CREDIT'!F86+'UNSECURED LOANS'!F86+'CAR FINANCE'!F87</f>
        <v>5128</v>
      </c>
      <c r="G88" s="14">
        <f t="shared" si="105"/>
        <v>0.05078736258294543</v>
      </c>
      <c r="H88" s="14"/>
      <c r="I88" s="9">
        <v>8446645.6</v>
      </c>
      <c r="J88" s="14">
        <v>0.0483</v>
      </c>
      <c r="K88" s="10">
        <v>4947</v>
      </c>
      <c r="L88" s="14">
        <v>0.0607</v>
      </c>
      <c r="M88" s="56"/>
      <c r="N88" s="55"/>
      <c r="O88" s="56"/>
      <c r="P88" s="9">
        <f>+'CAR FINANCE'!P87+'UNSECURED LOANS'!R86+'RETAIL CREDIT'!Q86+'SECURED LOANS'!Q67</f>
        <v>13170980.05</v>
      </c>
      <c r="Q88" s="14">
        <f t="shared" si="106"/>
        <v>0.05853956490349548</v>
      </c>
      <c r="R88" s="10">
        <f>+'CAR FINANCE'!R87+'UNSECURED LOANS'!T86+'RETAIL CREDIT'!S86+'SECURED LOANS'!S67</f>
        <v>5420</v>
      </c>
      <c r="S88" s="14">
        <f t="shared" si="107"/>
        <v>0.060354331147066356</v>
      </c>
      <c r="T88" s="56"/>
      <c r="U88" s="55"/>
      <c r="V88" s="56"/>
      <c r="W88" s="9">
        <f>+'CAR FINANCE'!W87+'UNSECURED LOANS'!Y86+'RETAIL CREDIT'!X86+'SECURED LOANS'!V67</f>
        <v>19182227.879999988</v>
      </c>
      <c r="X88" s="14">
        <f t="shared" si="108"/>
        <v>0.08525707803914712</v>
      </c>
      <c r="Y88" s="10">
        <f>+'CAR FINANCE'!Y87+'UNSECURED LOANS'!AA86+'RETAIL CREDIT'!Z86+'SECURED LOANS'!X67</f>
        <v>5556</v>
      </c>
      <c r="Z88" s="14">
        <f t="shared" si="82"/>
        <v>0.06664107853955764</v>
      </c>
      <c r="AA88" s="56"/>
      <c r="AB88" s="55"/>
      <c r="AC88" s="56"/>
      <c r="AD88" s="34"/>
      <c r="AE88" s="9">
        <f>+'CAR FINANCE'!AD87+'UNSECURED LOANS'!AF86+'RETAIL CREDIT'!AE86+'SECURED LOANS'!AA67</f>
        <v>23130884.839999992</v>
      </c>
      <c r="AF88" s="14">
        <f t="shared" si="83"/>
        <v>0.0995427438327293</v>
      </c>
      <c r="AG88" s="10">
        <f>+'CAR FINANCE'!AF87+'UNSECURED LOANS'!AH86+'RETAIL CREDIT'!AG86+'SECURED LOANS'!AC67</f>
        <v>5357</v>
      </c>
      <c r="AH88" s="14">
        <f t="shared" si="84"/>
        <v>0.07007194244604316</v>
      </c>
      <c r="AI88" s="56"/>
      <c r="AJ88" s="55"/>
      <c r="AK88" s="56"/>
      <c r="AL88" s="9">
        <f>+'CAR FINANCE'!AK87+'UNSECURED LOANS'!AM86+'RETAIL CREDIT'!AL86+'SECURED LOANS'!AF67</f>
        <v>27751598.490000013</v>
      </c>
      <c r="AM88" s="14">
        <f t="shared" si="85"/>
        <v>0.12143639796243794</v>
      </c>
      <c r="AN88" s="10">
        <f>+'CAR FINANCE'!AM87+'UNSECURED LOANS'!AO86+'RETAIL CREDIT'!AN86+'SECURED LOANS'!AH67</f>
        <v>5397</v>
      </c>
      <c r="AO88" s="14">
        <f t="shared" si="86"/>
        <v>0.0727368293373226</v>
      </c>
      <c r="AP88" s="56"/>
      <c r="AQ88" s="55"/>
      <c r="AR88" s="56"/>
      <c r="AS88" s="9">
        <f>+'CAR FINANCE'!AR87+'UNSECURED LOANS'!AT86+'RETAIL CREDIT'!AS86+'SECURED LOANS'!AK67</f>
        <v>30419251.90999999</v>
      </c>
      <c r="AT88" s="14">
        <f t="shared" si="87"/>
        <v>0.13462730096161826</v>
      </c>
      <c r="AU88" s="10">
        <f>+'CAR FINANCE'!AT87+'UNSECURED LOANS'!AV86+'RETAIL CREDIT'!AU86+'SECURED LOANS'!AM67</f>
        <v>5368</v>
      </c>
      <c r="AV88" s="14">
        <f t="shared" si="88"/>
        <v>0.07620778262042334</v>
      </c>
      <c r="AW88" s="56"/>
      <c r="AX88" s="55"/>
      <c r="AY88" s="56"/>
      <c r="AZ88" s="9">
        <f>+'CAR FINANCE'!AY87+'UNSECURED LOANS'!BA86+'RETAIL CREDIT'!AZ86+'SECURED LOANS'!AP67</f>
        <v>32120779.16000003</v>
      </c>
      <c r="BA88" s="14">
        <f t="shared" si="109"/>
        <v>0.12159016211558207</v>
      </c>
      <c r="BB88" s="10">
        <f>+'CAR FINANCE'!BA87+'UNSECURED LOANS'!BC86+'RETAIL CREDIT'!BB86+'SECURED LOANS'!AR67</f>
        <v>5540</v>
      </c>
      <c r="BC88" s="14">
        <f t="shared" si="89"/>
        <v>0.07524209211044561</v>
      </c>
      <c r="BD88" s="56"/>
      <c r="BE88" s="55"/>
      <c r="BF88" s="56"/>
      <c r="BG88" s="9">
        <f>+'CAR FINANCE'!BE87+'UNSECURED LOANS'!BH86+'RETAIL CREDIT'!BG86+'SECURED LOANS'!AU67</f>
        <v>28901527.919999965</v>
      </c>
      <c r="BH88" s="14">
        <f t="shared" si="90"/>
        <v>0.12214546090095654</v>
      </c>
      <c r="BI88" s="10">
        <f>+'CAR FINANCE'!BG87+'UNSECURED LOANS'!BJ86+'RETAIL CREDIT'!BI86+'SECURED LOANS'!AW67</f>
        <v>4980</v>
      </c>
      <c r="BJ88" s="14">
        <f t="shared" si="91"/>
        <v>0.07716503711049476</v>
      </c>
      <c r="BK88" s="56"/>
      <c r="BL88" s="55"/>
      <c r="BM88" s="56"/>
      <c r="BN88" s="9">
        <f>+'CAR FINANCE'!BL87+'UNSECURED LOANS'!BO86+'RETAIL CREDIT'!BN86+'SECURED LOANS'!AZ67</f>
        <v>25898183.669999983</v>
      </c>
      <c r="BO88" s="14">
        <f t="shared" si="92"/>
        <v>0.11928642363161505</v>
      </c>
      <c r="BP88" s="10">
        <f>+'CAR FINANCE'!BN87+'UNSECURED LOANS'!BQ86+'RETAIL CREDIT'!BP86+'SECURED LOANS'!BB67</f>
        <v>4445</v>
      </c>
      <c r="BQ88" s="14">
        <f t="shared" si="93"/>
        <v>0.07643892624374474</v>
      </c>
      <c r="BR88" s="56"/>
      <c r="BS88" s="55"/>
      <c r="BT88" s="56"/>
      <c r="BU88" s="9">
        <f>+'CAR FINANCE'!BS87+'UNSECURED LOANS'!BV86+'RETAIL CREDIT'!BU86+'SECURED LOANS'!BE67</f>
        <v>23298919.859999985</v>
      </c>
      <c r="BV88" s="14">
        <f t="shared" si="94"/>
        <v>0.10038948534169534</v>
      </c>
      <c r="BW88" s="10">
        <f>+'CAR FINANCE'!BU87+'UNSECURED LOANS'!BX86+'RETAIL CREDIT'!BW86+'SECURED LOANS'!BG67</f>
        <v>4053</v>
      </c>
      <c r="BX88" s="14">
        <f t="shared" si="95"/>
        <v>0.07258627791607715</v>
      </c>
      <c r="BY88" s="56"/>
      <c r="BZ88" s="55"/>
      <c r="CA88" s="56"/>
      <c r="CB88" s="9">
        <f>+'CAR FINANCE'!BZ87+'UNSECURED LOANS'!CC86+'RETAIL CREDIT'!CB86+'SECURED LOANS'!BJ67</f>
        <v>21230772.480000045</v>
      </c>
      <c r="CC88" s="14">
        <f t="shared" si="96"/>
        <v>0.09118315893465176</v>
      </c>
      <c r="CD88" s="10">
        <f>+'CAR FINANCE'!CB87+'UNSECURED LOANS'!CE86+'RETAIL CREDIT'!CD86+'SECURED LOANS'!BL67</f>
        <v>3813</v>
      </c>
      <c r="CE88" s="14">
        <f t="shared" si="97"/>
        <v>0.06950672645739911</v>
      </c>
      <c r="CF88" s="56"/>
      <c r="CG88" s="55"/>
      <c r="CH88" s="56"/>
      <c r="CI88" s="9">
        <f>+'CAR FINANCE'!CG87+'UNSECURED LOANS'!CJ86+'RETAIL CREDIT'!CI86+'SECURED LOANS'!BO67</f>
        <v>18814851.960000012</v>
      </c>
      <c r="CJ88" s="14">
        <f t="shared" si="98"/>
        <v>0.08417485243665973</v>
      </c>
      <c r="CK88" s="10">
        <f>+'CAR FINANCE'!CI87+'UNSECURED LOANS'!CL86+'RETAIL CREDIT'!CK86+'SECURED LOANS'!BQ67</f>
        <v>3354</v>
      </c>
      <c r="CL88" s="14">
        <f t="shared" si="99"/>
        <v>0.0712464950293143</v>
      </c>
      <c r="CM88" s="56"/>
      <c r="CN88" s="55"/>
      <c r="CO88" s="9">
        <f>+'CAR FINANCE'!CN87+'UNSECURED LOANS'!CQ86+'RETAIL CREDIT'!CP86+'SECURED LOANS'!BT67</f>
        <v>16385624.810000002</v>
      </c>
      <c r="CP88" s="14">
        <f t="shared" si="100"/>
        <v>0.07697432354151934</v>
      </c>
      <c r="CQ88" s="10">
        <f>+'CAR FINANCE'!CP87+'UNSECURED LOANS'!CS86+'RETAIL CREDIT'!CR86+'SECURED LOANS'!BV67</f>
        <v>2829</v>
      </c>
      <c r="CR88" s="14">
        <f t="shared" si="101"/>
        <v>0.07027349280870408</v>
      </c>
      <c r="CS88" s="34"/>
      <c r="CT88" s="34"/>
      <c r="CU88" s="100">
        <f>+'CAR FINANCE'!CU87+'UNSECURED LOANS'!CX86+'RETAIL CREDIT'!CW86+'SECURED LOANS'!BY67</f>
        <v>14679737.020000003</v>
      </c>
      <c r="CV88" s="14">
        <f t="shared" si="102"/>
        <v>0.06101002400474495</v>
      </c>
      <c r="CW88" s="10">
        <f>+'CAR FINANCE'!CW87+'UNSECURED LOANS'!CZ86+'RETAIL CREDIT'!CY86+'SECURED LOANS'!CA67</f>
        <v>2538</v>
      </c>
      <c r="CX88" s="14">
        <f t="shared" si="103"/>
        <v>0.05807115890630363</v>
      </c>
      <c r="CY88" s="34"/>
      <c r="CZ88" s="34"/>
    </row>
    <row r="89" spans="1:104" ht="12.75">
      <c r="A89" s="8" t="s">
        <v>71</v>
      </c>
      <c r="B89" s="8"/>
      <c r="C89" s="8"/>
      <c r="D89" s="9">
        <f>+'SECURED LOANS'!D68+'RETAIL CREDIT'!D87+'UNSECURED LOANS'!D87+'CAR FINANCE'!D88</f>
        <v>6325646.44</v>
      </c>
      <c r="E89" s="14">
        <f t="shared" si="104"/>
        <v>0.031038677628732414</v>
      </c>
      <c r="F89" s="10">
        <f>+'SECURED LOANS'!F68+'RETAIL CREDIT'!F87+'UNSECURED LOANS'!F87+'CAR FINANCE'!F88</f>
        <v>5382</v>
      </c>
      <c r="G89" s="14">
        <f t="shared" si="105"/>
        <v>0.05330296127562642</v>
      </c>
      <c r="H89" s="14"/>
      <c r="I89" s="9">
        <v>5316934.54</v>
      </c>
      <c r="J89" s="14">
        <v>0.0304</v>
      </c>
      <c r="K89" s="10">
        <v>4872</v>
      </c>
      <c r="L89" s="14">
        <v>0.0598</v>
      </c>
      <c r="M89" s="56"/>
      <c r="N89" s="55"/>
      <c r="O89" s="56"/>
      <c r="P89" s="9">
        <f>+'CAR FINANCE'!P88+'UNSECURED LOANS'!R87+'RETAIL CREDIT'!Q87+'SECURED LOANS'!Q68</f>
        <v>6043914.100000001</v>
      </c>
      <c r="Q89" s="14">
        <f t="shared" si="106"/>
        <v>0.02686270121015797</v>
      </c>
      <c r="R89" s="10">
        <f>+'CAR FINANCE'!R88+'UNSECURED LOANS'!T87+'RETAIL CREDIT'!S87+'SECURED LOANS'!S68</f>
        <v>4830</v>
      </c>
      <c r="S89" s="14">
        <f t="shared" si="107"/>
        <v>0.05378439473068829</v>
      </c>
      <c r="T89" s="56"/>
      <c r="U89" s="55"/>
      <c r="V89" s="56"/>
      <c r="W89" s="9">
        <f>+'CAR FINANCE'!W88+'UNSECURED LOANS'!Y87+'RETAIL CREDIT'!X87+'SECURED LOANS'!V68</f>
        <v>5854521.620000001</v>
      </c>
      <c r="X89" s="14">
        <f t="shared" si="108"/>
        <v>0.026020929881592793</v>
      </c>
      <c r="Y89" s="10">
        <f>+'CAR FINANCE'!Y88+'UNSECURED LOANS'!AA87+'RETAIL CREDIT'!Z87+'SECURED LOANS'!X68</f>
        <v>4174</v>
      </c>
      <c r="Z89" s="14">
        <f t="shared" si="82"/>
        <v>0.05006476994674471</v>
      </c>
      <c r="AA89" s="56"/>
      <c r="AB89" s="55"/>
      <c r="AC89" s="56"/>
      <c r="AD89" s="34"/>
      <c r="AE89" s="9">
        <f>+'CAR FINANCE'!AD88+'UNSECURED LOANS'!AF87+'RETAIL CREDIT'!AE87+'SECURED LOANS'!AA68</f>
        <v>5545906.109999997</v>
      </c>
      <c r="AF89" s="14">
        <f t="shared" si="83"/>
        <v>0.023866562608683074</v>
      </c>
      <c r="AG89" s="10">
        <f>+'CAR FINANCE'!AF88+'UNSECURED LOANS'!AH87+'RETAIL CREDIT'!AG87+'SECURED LOANS'!AC68</f>
        <v>3380</v>
      </c>
      <c r="AH89" s="14">
        <f t="shared" si="84"/>
        <v>0.04421190320470896</v>
      </c>
      <c r="AI89" s="56"/>
      <c r="AJ89" s="55"/>
      <c r="AK89" s="56"/>
      <c r="AL89" s="9">
        <f>+'CAR FINANCE'!AK88+'UNSECURED LOANS'!AM87+'RETAIL CREDIT'!AL87+'SECURED LOANS'!AF68</f>
        <v>5196711.44</v>
      </c>
      <c r="AM89" s="14">
        <f t="shared" si="85"/>
        <v>0.022739948430400978</v>
      </c>
      <c r="AN89" s="10">
        <f>+'CAR FINANCE'!AM88+'UNSECURED LOANS'!AO87+'RETAIL CREDIT'!AN87+'SECURED LOANS'!AH68</f>
        <v>2744</v>
      </c>
      <c r="AO89" s="14">
        <f t="shared" si="86"/>
        <v>0.03698163048019515</v>
      </c>
      <c r="AP89" s="56"/>
      <c r="AQ89" s="55"/>
      <c r="AR89" s="56"/>
      <c r="AS89" s="9">
        <f>+'CAR FINANCE'!AR88+'UNSECURED LOANS'!AT87+'RETAIL CREDIT'!AS87+'SECURED LOANS'!AK68</f>
        <v>5007528.06</v>
      </c>
      <c r="AT89" s="14">
        <f t="shared" si="87"/>
        <v>0.022161951556269176</v>
      </c>
      <c r="AU89" s="10">
        <f>+'CAR FINANCE'!AT88+'UNSECURED LOANS'!AV87+'RETAIL CREDIT'!AU87+'SECURED LOANS'!AM68</f>
        <v>2368</v>
      </c>
      <c r="AV89" s="14">
        <f t="shared" si="88"/>
        <v>0.033617740172347706</v>
      </c>
      <c r="AW89" s="56"/>
      <c r="AX89" s="55"/>
      <c r="AY89" s="56"/>
      <c r="AZ89" s="9">
        <f>+'CAR FINANCE'!AY88+'UNSECURED LOANS'!BA87+'RETAIL CREDIT'!AZ87+'SECURED LOANS'!AP68</f>
        <v>6698348.5600000005</v>
      </c>
      <c r="BA89" s="14">
        <f t="shared" si="109"/>
        <v>0.025355962981474422</v>
      </c>
      <c r="BB89" s="10">
        <f>+'CAR FINANCE'!BA88+'UNSECURED LOANS'!BC87+'RETAIL CREDIT'!BB87+'SECURED LOANS'!AR68</f>
        <v>2392</v>
      </c>
      <c r="BC89" s="14">
        <f t="shared" si="89"/>
        <v>0.03248719933721767</v>
      </c>
      <c r="BD89" s="56"/>
      <c r="BE89" s="55"/>
      <c r="BF89" s="56"/>
      <c r="BG89" s="9">
        <f>+'CAR FINANCE'!BE88+'UNSECURED LOANS'!BH87+'RETAIL CREDIT'!BG87+'SECURED LOANS'!AU68</f>
        <v>6042560.500000001</v>
      </c>
      <c r="BH89" s="14">
        <f t="shared" si="90"/>
        <v>0.025537450453741114</v>
      </c>
      <c r="BI89" s="10">
        <f>+'CAR FINANCE'!BG88+'UNSECURED LOANS'!BJ87+'RETAIL CREDIT'!BI87+'SECURED LOANS'!AW68</f>
        <v>2124</v>
      </c>
      <c r="BJ89" s="14">
        <f t="shared" si="91"/>
        <v>0.03291135317724716</v>
      </c>
      <c r="BK89" s="56"/>
      <c r="BL89" s="55"/>
      <c r="BM89" s="56"/>
      <c r="BN89" s="9">
        <f>+'CAR FINANCE'!BL88+'UNSECURED LOANS'!BO87+'RETAIL CREDIT'!BN87+'SECURED LOANS'!AZ68</f>
        <v>5557158.359999999</v>
      </c>
      <c r="BO89" s="14">
        <f t="shared" si="92"/>
        <v>0.0255961404384824</v>
      </c>
      <c r="BP89" s="10">
        <f>+'CAR FINANCE'!BN88+'UNSECURED LOANS'!BQ87+'RETAIL CREDIT'!BP87+'SECURED LOANS'!BB68</f>
        <v>1939</v>
      </c>
      <c r="BQ89" s="14">
        <f t="shared" si="93"/>
        <v>0.03334422451892487</v>
      </c>
      <c r="BR89" s="56"/>
      <c r="BS89" s="55"/>
      <c r="BT89" s="56"/>
      <c r="BU89" s="9">
        <f>+'CAR FINANCE'!BS88+'UNSECURED LOANS'!BV87+'RETAIL CREDIT'!BU87+'SECURED LOANS'!BE68</f>
        <v>5057431.08</v>
      </c>
      <c r="BV89" s="14">
        <f t="shared" si="94"/>
        <v>0.021791263557412604</v>
      </c>
      <c r="BW89" s="10">
        <f>+'CAR FINANCE'!BU88+'UNSECURED LOANS'!BX87+'RETAIL CREDIT'!BW87+'SECURED LOANS'!BG68</f>
        <v>1800</v>
      </c>
      <c r="BX89" s="14">
        <f t="shared" si="95"/>
        <v>0.03223668893386106</v>
      </c>
      <c r="BY89" s="56"/>
      <c r="BZ89" s="55"/>
      <c r="CA89" s="56"/>
      <c r="CB89" s="9">
        <f>+'CAR FINANCE'!BZ88+'UNSECURED LOANS'!CC87+'RETAIL CREDIT'!CB87+'SECURED LOANS'!BJ68</f>
        <v>4623289.2</v>
      </c>
      <c r="CC89" s="14">
        <f t="shared" si="96"/>
        <v>0.019856371892336258</v>
      </c>
      <c r="CD89" s="10">
        <f>+'CAR FINANCE'!CB88+'UNSECURED LOANS'!CE87+'RETAIL CREDIT'!CD87+'SECURED LOANS'!BL68</f>
        <v>1691</v>
      </c>
      <c r="CE89" s="14">
        <f t="shared" si="97"/>
        <v>0.030825039192095956</v>
      </c>
      <c r="CF89" s="56"/>
      <c r="CG89" s="55"/>
      <c r="CH89" s="56"/>
      <c r="CI89" s="9">
        <f>+'CAR FINANCE'!CG88+'UNSECURED LOANS'!CJ87+'RETAIL CREDIT'!CI87+'SECURED LOANS'!BO68</f>
        <v>4196454.81</v>
      </c>
      <c r="CJ89" s="14">
        <f t="shared" si="98"/>
        <v>0.018774315372761544</v>
      </c>
      <c r="CK89" s="10">
        <f>+'CAR FINANCE'!CI88+'UNSECURED LOANS'!CL87+'RETAIL CREDIT'!CK87+'SECURED LOANS'!BQ68</f>
        <v>1500</v>
      </c>
      <c r="CL89" s="14">
        <f t="shared" si="99"/>
        <v>0.03186336986999745</v>
      </c>
      <c r="CM89" s="56"/>
      <c r="CN89" s="55"/>
      <c r="CO89" s="9">
        <f>+'CAR FINANCE'!CN88+'UNSECURED LOANS'!CQ87+'RETAIL CREDIT'!CP87+'SECURED LOANS'!BT68</f>
        <v>4052636.26</v>
      </c>
      <c r="CP89" s="14">
        <f t="shared" si="100"/>
        <v>0.019037963964789014</v>
      </c>
      <c r="CQ89" s="10">
        <f>+'CAR FINANCE'!CP88+'UNSECURED LOANS'!CS87+'RETAIL CREDIT'!CR87+'SECURED LOANS'!BV68</f>
        <v>1400</v>
      </c>
      <c r="CR89" s="14">
        <f t="shared" si="101"/>
        <v>0.03477656059815684</v>
      </c>
      <c r="CS89" s="34"/>
      <c r="CT89" s="34"/>
      <c r="CU89" s="100">
        <f>+'CAR FINANCE'!CU88+'UNSECURED LOANS'!CX87+'RETAIL CREDIT'!CW87+'SECURED LOANS'!BY68</f>
        <v>3656104.03</v>
      </c>
      <c r="CV89" s="14">
        <f t="shared" si="102"/>
        <v>0.015195026609144575</v>
      </c>
      <c r="CW89" s="10">
        <f>+'CAR FINANCE'!CW88+'UNSECURED LOANS'!CZ87+'RETAIL CREDIT'!CY87+'SECURED LOANS'!CA68</f>
        <v>1305</v>
      </c>
      <c r="CX89" s="14">
        <f t="shared" si="103"/>
        <v>0.02985928383480151</v>
      </c>
      <c r="CY89" s="34"/>
      <c r="CZ89" s="34"/>
    </row>
    <row r="90" spans="1:104" ht="12.75">
      <c r="A90" s="8" t="s">
        <v>72</v>
      </c>
      <c r="B90" s="8"/>
      <c r="C90" s="8"/>
      <c r="D90" s="9">
        <f>+'RETAIL CREDIT'!D88+'UNSECURED LOANS'!D88+'CAR FINANCE'!D89</f>
        <v>2238176.3200000003</v>
      </c>
      <c r="E90" s="14">
        <f t="shared" si="104"/>
        <v>0.010982282037366389</v>
      </c>
      <c r="F90" s="10">
        <f>+'RETAIL CREDIT'!F88+'UNSECURED LOANS'!F88+'CAR FINANCE'!F89</f>
        <v>2228</v>
      </c>
      <c r="G90" s="14">
        <f t="shared" si="105"/>
        <v>0.02206596018619392</v>
      </c>
      <c r="H90" s="14"/>
      <c r="I90" s="9">
        <v>1825029.48</v>
      </c>
      <c r="J90" s="14">
        <v>0.0104</v>
      </c>
      <c r="K90" s="10">
        <v>2211</v>
      </c>
      <c r="L90" s="14">
        <v>0.0271</v>
      </c>
      <c r="M90" s="56"/>
      <c r="N90" s="55"/>
      <c r="O90" s="56"/>
      <c r="P90" s="9">
        <f>+'CAR FINANCE'!P89+'UNSECURED LOANS'!R88+'RETAIL CREDIT'!Q88</f>
        <v>2660522.379999998</v>
      </c>
      <c r="Q90" s="14">
        <f t="shared" si="106"/>
        <v>0.011824922818952425</v>
      </c>
      <c r="R90" s="10">
        <f>+'CAR FINANCE'!R89+'UNSECURED LOANS'!T88+'RETAIL CREDIT'!S88</f>
        <v>2455</v>
      </c>
      <c r="S90" s="14">
        <f t="shared" si="107"/>
        <v>0.027337616783403674</v>
      </c>
      <c r="T90" s="56"/>
      <c r="U90" s="55"/>
      <c r="V90" s="56"/>
      <c r="W90" s="9">
        <f>+'CAR FINANCE'!W89+'UNSECURED LOANS'!Y88+'RETAIL CREDIT'!X88</f>
        <v>4110851.57</v>
      </c>
      <c r="X90" s="14">
        <f t="shared" si="108"/>
        <v>0.018271036883899257</v>
      </c>
      <c r="Y90" s="10">
        <f>+'CAR FINANCE'!Y89+'UNSECURED LOANS'!AA88+'RETAIL CREDIT'!Z88</f>
        <v>2237</v>
      </c>
      <c r="Z90" s="14">
        <f t="shared" si="82"/>
        <v>0.02683155016072542</v>
      </c>
      <c r="AA90" s="56"/>
      <c r="AB90" s="55"/>
      <c r="AC90" s="56"/>
      <c r="AD90" s="34"/>
      <c r="AE90" s="9">
        <f>+'CAR FINANCE'!AD89+'UNSECURED LOANS'!AF88+'RETAIL CREDIT'!AE88</f>
        <v>4712826</v>
      </c>
      <c r="AF90" s="14">
        <f t="shared" si="83"/>
        <v>0.020281439058265897</v>
      </c>
      <c r="AG90" s="10">
        <f>+'CAR FINANCE'!AF89+'UNSECURED LOANS'!AH88+'RETAIL CREDIT'!AG88</f>
        <v>2199</v>
      </c>
      <c r="AH90" s="14">
        <f t="shared" si="84"/>
        <v>0.028763897972531066</v>
      </c>
      <c r="AI90" s="56"/>
      <c r="AJ90" s="55"/>
      <c r="AK90" s="56"/>
      <c r="AL90" s="9">
        <f>+'CAR FINANCE'!AK89+'UNSECURED LOANS'!AM88+'RETAIL CREDIT'!AL88</f>
        <v>5391513.38</v>
      </c>
      <c r="AM90" s="14">
        <f t="shared" si="85"/>
        <v>0.023592369451057468</v>
      </c>
      <c r="AN90" s="10">
        <f>+'CAR FINANCE'!AM89+'UNSECURED LOANS'!AO88+'RETAIL CREDIT'!AN88</f>
        <v>2243</v>
      </c>
      <c r="AO90" s="14">
        <f t="shared" si="86"/>
        <v>0.03022951791803124</v>
      </c>
      <c r="AP90" s="56"/>
      <c r="AQ90" s="55"/>
      <c r="AR90" s="56"/>
      <c r="AS90" s="9">
        <f>+'CAR FINANCE'!AR89+'UNSECURED LOANS'!AT88+'RETAIL CREDIT'!AS88</f>
        <v>5966053.6</v>
      </c>
      <c r="AT90" s="14">
        <f t="shared" si="87"/>
        <v>0.02640412380740715</v>
      </c>
      <c r="AU90" s="10">
        <f>+'CAR FINANCE'!AT89+'UNSECURED LOANS'!AV88+'RETAIL CREDIT'!AU88</f>
        <v>2174</v>
      </c>
      <c r="AV90" s="14">
        <f t="shared" si="88"/>
        <v>0.030863584094038814</v>
      </c>
      <c r="AW90" s="56"/>
      <c r="AX90" s="55"/>
      <c r="AY90" s="56"/>
      <c r="AZ90" s="9">
        <f>+'CAR FINANCE'!AY89+'UNSECURED LOANS'!BA88+'RETAIL CREDIT'!AZ88</f>
        <v>6282045.750000001</v>
      </c>
      <c r="BA90" s="14">
        <f t="shared" si="109"/>
        <v>0.02378008819011484</v>
      </c>
      <c r="BB90" s="10">
        <f>+'CAR FINANCE'!BA89+'UNSECURED LOANS'!BC88+'RETAIL CREDIT'!BB88</f>
        <v>2293</v>
      </c>
      <c r="BC90" s="14">
        <f t="shared" si="89"/>
        <v>0.031142620434882994</v>
      </c>
      <c r="BD90" s="56"/>
      <c r="BE90" s="55"/>
      <c r="BF90" s="56"/>
      <c r="BG90" s="9">
        <f>+'CAR FINANCE'!BE89+'UNSECURED LOANS'!BH88+'RETAIL CREDIT'!BG88</f>
        <v>5540729.539999993</v>
      </c>
      <c r="BH90" s="14">
        <f t="shared" si="90"/>
        <v>0.023416580786461232</v>
      </c>
      <c r="BI90" s="10">
        <f>+'CAR FINANCE'!BG89+'UNSECURED LOANS'!BJ88+'RETAIL CREDIT'!BI88</f>
        <v>2041</v>
      </c>
      <c r="BJ90" s="14">
        <f t="shared" si="91"/>
        <v>0.03162526922540558</v>
      </c>
      <c r="BK90" s="56"/>
      <c r="BL90" s="55"/>
      <c r="BM90" s="56"/>
      <c r="BN90" s="9">
        <f>+'CAR FINANCE'!BL89+'UNSECURED LOANS'!BO88+'RETAIL CREDIT'!BN88</f>
        <v>4772799.369999994</v>
      </c>
      <c r="BO90" s="14">
        <f t="shared" si="92"/>
        <v>0.021983401415830835</v>
      </c>
      <c r="BP90" s="10">
        <f>+'CAR FINANCE'!BN89+'UNSECURED LOANS'!BQ88+'RETAIL CREDIT'!BP88</f>
        <v>1801</v>
      </c>
      <c r="BQ90" s="14">
        <f t="shared" si="93"/>
        <v>0.030971092500558888</v>
      </c>
      <c r="BR90" s="56"/>
      <c r="BS90" s="55"/>
      <c r="BT90" s="56"/>
      <c r="BU90" s="9">
        <f>+'CAR FINANCE'!BS89+'UNSECURED LOANS'!BV88+'RETAIL CREDIT'!BU88</f>
        <v>4153517.3499999996</v>
      </c>
      <c r="BV90" s="14">
        <f t="shared" si="94"/>
        <v>0.01789651501570951</v>
      </c>
      <c r="BW90" s="10">
        <f>+'CAR FINANCE'!BU89+'UNSECURED LOANS'!BX88+'RETAIL CREDIT'!BW88</f>
        <v>1633</v>
      </c>
      <c r="BX90" s="14">
        <f t="shared" si="95"/>
        <v>0.02924584057166395</v>
      </c>
      <c r="BY90" s="56"/>
      <c r="BZ90" s="55"/>
      <c r="CA90" s="56"/>
      <c r="CB90" s="9">
        <f>+'CAR FINANCE'!BZ89+'UNSECURED LOANS'!CC88+'RETAIL CREDIT'!CB88</f>
        <v>3782787.3299999996</v>
      </c>
      <c r="CC90" s="14">
        <f t="shared" si="96"/>
        <v>0.01624653547826896</v>
      </c>
      <c r="CD90" s="10">
        <f>+'CAR FINANCE'!CB89+'UNSECURED LOANS'!CE88+'RETAIL CREDIT'!CD88</f>
        <v>1531</v>
      </c>
      <c r="CE90" s="14">
        <f t="shared" si="97"/>
        <v>0.02790841809763389</v>
      </c>
      <c r="CF90" s="56"/>
      <c r="CG90" s="55"/>
      <c r="CH90" s="56"/>
      <c r="CI90" s="9">
        <f>+'CAR FINANCE'!CG89+'UNSECURED LOANS'!CJ88+'RETAIL CREDIT'!CI88</f>
        <v>3255789.48</v>
      </c>
      <c r="CJ90" s="14">
        <f t="shared" si="98"/>
        <v>0.014565918436481225</v>
      </c>
      <c r="CK90" s="10">
        <f>+'CAR FINANCE'!CI89+'UNSECURED LOANS'!CL88+'RETAIL CREDIT'!CK88</f>
        <v>1342</v>
      </c>
      <c r="CL90" s="14">
        <f t="shared" si="99"/>
        <v>0.02850709491035772</v>
      </c>
      <c r="CM90" s="56"/>
      <c r="CN90" s="55"/>
      <c r="CO90" s="9">
        <f>+'CAR FINANCE'!CN89+'UNSECURED LOANS'!CQ88+'RETAIL CREDIT'!CP88</f>
        <v>2887480.54</v>
      </c>
      <c r="CP90" s="14">
        <f t="shared" si="100"/>
        <v>0.013564442240259067</v>
      </c>
      <c r="CQ90" s="10">
        <f>+'CAR FINANCE'!CP89+'UNSECURED LOANS'!CS88+'RETAIL CREDIT'!CR88</f>
        <v>1207</v>
      </c>
      <c r="CR90" s="14">
        <f t="shared" si="101"/>
        <v>0.029982363315696647</v>
      </c>
      <c r="CS90" s="34"/>
      <c r="CT90" s="34"/>
      <c r="CU90" s="100">
        <f>+'CAR FINANCE'!CU89+'UNSECURED LOANS'!CX88+'RETAIL CREDIT'!CW88</f>
        <v>2533880.81</v>
      </c>
      <c r="CV90" s="14">
        <f t="shared" si="102"/>
        <v>0.010530987635040246</v>
      </c>
      <c r="CW90" s="10">
        <f>+'CAR FINANCE'!CW89+'UNSECURED LOANS'!CZ88+'RETAIL CREDIT'!CY88</f>
        <v>1092</v>
      </c>
      <c r="CX90" s="14">
        <f t="shared" si="103"/>
        <v>0.02498569957670747</v>
      </c>
      <c r="CY90" s="34"/>
      <c r="CZ90" s="34"/>
    </row>
    <row r="91" spans="1:104" ht="12.75">
      <c r="A91" s="8" t="s">
        <v>73</v>
      </c>
      <c r="B91" s="8"/>
      <c r="C91" s="8"/>
      <c r="D91" s="9">
        <f>+'RETAIL CREDIT'!D89+'UNSECURED LOANS'!D89+'CAR FINANCE'!D90</f>
        <v>4437765.26</v>
      </c>
      <c r="E91" s="14">
        <f t="shared" si="104"/>
        <v>0.021775223544920078</v>
      </c>
      <c r="F91" s="10">
        <f>+'RETAIL CREDIT'!F89+'UNSECURED LOANS'!F89+'CAR FINANCE'!F90</f>
        <v>3853</v>
      </c>
      <c r="G91" s="14">
        <f t="shared" si="105"/>
        <v>0.03815984946023571</v>
      </c>
      <c r="H91" s="14"/>
      <c r="I91" s="9">
        <v>3748788.67</v>
      </c>
      <c r="J91" s="14">
        <v>0.0215</v>
      </c>
      <c r="K91" s="10">
        <v>3451</v>
      </c>
      <c r="L91" s="14">
        <v>0.0424</v>
      </c>
      <c r="M91" s="56"/>
      <c r="N91" s="55"/>
      <c r="O91" s="56"/>
      <c r="P91" s="9">
        <f>+'CAR FINANCE'!P90+'UNSECURED LOANS'!R89+'RETAIL CREDIT'!Q89</f>
        <v>4615177.76</v>
      </c>
      <c r="Q91" s="14">
        <f t="shared" si="106"/>
        <v>0.020512558442656578</v>
      </c>
      <c r="R91" s="10">
        <f>+'CAR FINANCE'!R90+'UNSECURED LOANS'!T89+'RETAIL CREDIT'!S89</f>
        <v>3581</v>
      </c>
      <c r="S91" s="14">
        <f t="shared" si="107"/>
        <v>0.03987617340177945</v>
      </c>
      <c r="T91" s="56"/>
      <c r="U91" s="55"/>
      <c r="V91" s="56"/>
      <c r="W91" s="9">
        <f>+'CAR FINANCE'!W90+'UNSECURED LOANS'!Y89+'RETAIL CREDIT'!X89</f>
        <v>4566413.99</v>
      </c>
      <c r="X91" s="14">
        <f t="shared" si="108"/>
        <v>0.020295823631122634</v>
      </c>
      <c r="Y91" s="10">
        <f>+'CAR FINANCE'!Y90+'UNSECURED LOANS'!AA89+'RETAIL CREDIT'!Z89</f>
        <v>3402</v>
      </c>
      <c r="Z91" s="14">
        <f t="shared" si="82"/>
        <v>0.040805066449167586</v>
      </c>
      <c r="AA91" s="56"/>
      <c r="AB91" s="55"/>
      <c r="AC91" s="56"/>
      <c r="AD91" s="34"/>
      <c r="AE91" s="9">
        <f>+'CAR FINANCE'!AD90+'UNSECURED LOANS'!AF89+'RETAIL CREDIT'!AE89</f>
        <v>4381311.58</v>
      </c>
      <c r="AF91" s="14">
        <f t="shared" si="83"/>
        <v>0.01885478135730975</v>
      </c>
      <c r="AG91" s="10">
        <f>+'CAR FINANCE'!AF90+'UNSECURED LOANS'!AH89+'RETAIL CREDIT'!AG89</f>
        <v>3106</v>
      </c>
      <c r="AH91" s="14">
        <f t="shared" si="84"/>
        <v>0.040627861347285806</v>
      </c>
      <c r="AI91" s="56"/>
      <c r="AJ91" s="55"/>
      <c r="AK91" s="56"/>
      <c r="AL91" s="9">
        <f>+'CAR FINANCE'!AK90+'UNSECURED LOANS'!AM89+'RETAIL CREDIT'!AL89</f>
        <v>4410568.98</v>
      </c>
      <c r="AM91" s="14">
        <f t="shared" si="85"/>
        <v>0.01929991924930245</v>
      </c>
      <c r="AN91" s="10">
        <f>+'CAR FINANCE'!AM90+'UNSECURED LOANS'!AO89+'RETAIL CREDIT'!AN89</f>
        <v>2817</v>
      </c>
      <c r="AO91" s="14">
        <f t="shared" si="86"/>
        <v>0.03796547123276594</v>
      </c>
      <c r="AP91" s="56"/>
      <c r="AQ91" s="55"/>
      <c r="AR91" s="56"/>
      <c r="AS91" s="9">
        <f>+'CAR FINANCE'!AR90+'UNSECURED LOANS'!AT89+'RETAIL CREDIT'!AS89</f>
        <v>4220043.82</v>
      </c>
      <c r="AT91" s="14">
        <f t="shared" si="87"/>
        <v>0.01867676138477258</v>
      </c>
      <c r="AU91" s="10">
        <f>+'CAR FINANCE'!AT90+'UNSECURED LOANS'!AV89+'RETAIL CREDIT'!AU89</f>
        <v>2481</v>
      </c>
      <c r="AV91" s="14">
        <f t="shared" si="88"/>
        <v>0.03522196510455856</v>
      </c>
      <c r="AW91" s="56"/>
      <c r="AX91" s="55"/>
      <c r="AY91" s="56"/>
      <c r="AZ91" s="9">
        <f>+'CAR FINANCE'!AY90+'UNSECURED LOANS'!BA89+'RETAIL CREDIT'!AZ89</f>
        <v>6725420.220000001</v>
      </c>
      <c r="BA91" s="14">
        <f t="shared" si="109"/>
        <v>0.025458440182034893</v>
      </c>
      <c r="BB91" s="10">
        <f>+'CAR FINANCE'!BA90+'UNSECURED LOANS'!BC89+'RETAIL CREDIT'!BB89</f>
        <v>2542</v>
      </c>
      <c r="BC91" s="14">
        <f t="shared" si="89"/>
        <v>0.03452444009833082</v>
      </c>
      <c r="BD91" s="56"/>
      <c r="BE91" s="55"/>
      <c r="BF91" s="56"/>
      <c r="BG91" s="9">
        <f>+'CAR FINANCE'!BE90+'UNSECURED LOANS'!BH89+'RETAIL CREDIT'!BG89</f>
        <v>6208398.100000001</v>
      </c>
      <c r="BH91" s="14">
        <f t="shared" si="90"/>
        <v>0.026238323782749127</v>
      </c>
      <c r="BI91" s="10">
        <f>+'CAR FINANCE'!BG90+'UNSECURED LOANS'!BJ89+'RETAIL CREDIT'!BI89</f>
        <v>2346</v>
      </c>
      <c r="BJ91" s="14">
        <f t="shared" si="91"/>
        <v>0.036351240373739095</v>
      </c>
      <c r="BK91" s="56"/>
      <c r="BL91" s="55"/>
      <c r="BM91" s="56"/>
      <c r="BN91" s="9">
        <f>+'CAR FINANCE'!BL90+'UNSECURED LOANS'!BO89+'RETAIL CREDIT'!BN89</f>
        <v>5494006.290000001</v>
      </c>
      <c r="BO91" s="14">
        <f t="shared" si="92"/>
        <v>0.025305263492391407</v>
      </c>
      <c r="BP91" s="10">
        <f>+'CAR FINANCE'!BN90+'UNSECURED LOANS'!BQ89+'RETAIL CREDIT'!BP89</f>
        <v>2098</v>
      </c>
      <c r="BQ91" s="14">
        <f t="shared" si="93"/>
        <v>0.036078485322694365</v>
      </c>
      <c r="BR91" s="56"/>
      <c r="BS91" s="55"/>
      <c r="BT91" s="56"/>
      <c r="BU91" s="9">
        <f>+'CAR FINANCE'!BS90+'UNSECURED LOANS'!BV89+'RETAIL CREDIT'!BU89</f>
        <v>4854690.81</v>
      </c>
      <c r="BV91" s="14">
        <f t="shared" si="94"/>
        <v>0.020917704118364154</v>
      </c>
      <c r="BW91" s="10">
        <f>+'CAR FINANCE'!BU90+'UNSECURED LOANS'!BX89+'RETAIL CREDIT'!BW89</f>
        <v>1863</v>
      </c>
      <c r="BX91" s="14">
        <f t="shared" si="95"/>
        <v>0.0333649730465462</v>
      </c>
      <c r="BY91" s="56"/>
      <c r="BZ91" s="55"/>
      <c r="CA91" s="56"/>
      <c r="CB91" s="9">
        <f>+'CAR FINANCE'!BZ90+'UNSECURED LOANS'!CC89+'RETAIL CREDIT'!CB89</f>
        <v>4335549.38</v>
      </c>
      <c r="CC91" s="14">
        <f t="shared" si="96"/>
        <v>0.018620570144491044</v>
      </c>
      <c r="CD91" s="10">
        <f>+'CAR FINANCE'!CB90+'UNSECURED LOANS'!CE89+'RETAIL CREDIT'!CD89</f>
        <v>1698</v>
      </c>
      <c r="CE91" s="14">
        <f t="shared" si="97"/>
        <v>0.030952641364978672</v>
      </c>
      <c r="CF91" s="56"/>
      <c r="CG91" s="55"/>
      <c r="CH91" s="56"/>
      <c r="CI91" s="9">
        <f>+'CAR FINANCE'!CG90+'UNSECURED LOANS'!CJ89+'RETAIL CREDIT'!CI89</f>
        <v>3820310.3100000005</v>
      </c>
      <c r="CJ91" s="14">
        <f t="shared" si="98"/>
        <v>0.017091500761747137</v>
      </c>
      <c r="CK91" s="10">
        <f>+'CAR FINANCE'!CI90+'UNSECURED LOANS'!CL89+'RETAIL CREDIT'!CK89</f>
        <v>1489</v>
      </c>
      <c r="CL91" s="14">
        <f t="shared" si="99"/>
        <v>0.03162970515761747</v>
      </c>
      <c r="CM91" s="56"/>
      <c r="CN91" s="55"/>
      <c r="CO91" s="9">
        <f>+'CAR FINANCE'!CN90+'UNSECURED LOANS'!CQ89+'RETAIL CREDIT'!CP89</f>
        <v>3350932.54</v>
      </c>
      <c r="CP91" s="14">
        <f t="shared" si="100"/>
        <v>0.01574158864801721</v>
      </c>
      <c r="CQ91" s="10">
        <f>+'CAR FINANCE'!CP90+'UNSECURED LOANS'!CS89+'RETAIL CREDIT'!CR89</f>
        <v>1303</v>
      </c>
      <c r="CR91" s="14">
        <f t="shared" si="101"/>
        <v>0.032367041756713115</v>
      </c>
      <c r="CS91" s="34"/>
      <c r="CT91" s="34"/>
      <c r="CU91" s="100">
        <f>+'CAR FINANCE'!CU90+'UNSECURED LOANS'!CX89+'RETAIL CREDIT'!CW89</f>
        <v>2949164.3299999996</v>
      </c>
      <c r="CV91" s="14">
        <f t="shared" si="102"/>
        <v>0.01225693527902433</v>
      </c>
      <c r="CW91" s="10">
        <f>+'CAR FINANCE'!CW90+'UNSECURED LOANS'!CZ89+'RETAIL CREDIT'!CY89</f>
        <v>1206</v>
      </c>
      <c r="CX91" s="14">
        <f t="shared" si="103"/>
        <v>0.027594096785264845</v>
      </c>
      <c r="CY91" s="34"/>
      <c r="CZ91" s="34"/>
    </row>
    <row r="92" spans="1:104" ht="12.75">
      <c r="A92" s="8" t="s">
        <v>74</v>
      </c>
      <c r="B92" s="8"/>
      <c r="C92" s="8"/>
      <c r="D92" s="9">
        <f>+'RETAIL CREDIT'!D90+'UNSECURED LOANS'!D90+'CAR FINANCE'!D91</f>
        <v>2216353.68</v>
      </c>
      <c r="E92" s="14">
        <f t="shared" si="104"/>
        <v>0.01087520272232837</v>
      </c>
      <c r="F92" s="10">
        <f>+'RETAIL CREDIT'!F90+'UNSECURED LOANS'!F90+'CAR FINANCE'!F91</f>
        <v>2806</v>
      </c>
      <c r="G92" s="14">
        <f t="shared" si="105"/>
        <v>0.027790432801822324</v>
      </c>
      <c r="H92" s="14"/>
      <c r="I92" s="9">
        <v>1896328.17</v>
      </c>
      <c r="J92" s="14">
        <v>0.0109</v>
      </c>
      <c r="K92" s="10">
        <v>2862</v>
      </c>
      <c r="L92" s="14">
        <v>0.0351</v>
      </c>
      <c r="M92" s="56"/>
      <c r="N92" s="55"/>
      <c r="O92" s="56"/>
      <c r="P92" s="9">
        <f>+'CAR FINANCE'!P91+'UNSECURED LOANS'!R90+'RETAIL CREDIT'!Q90</f>
        <v>2146738.8400000054</v>
      </c>
      <c r="Q92" s="14">
        <f t="shared" si="106"/>
        <v>0.009541367246626034</v>
      </c>
      <c r="R92" s="10">
        <f>+'CAR FINANCE'!R91+'UNSECURED LOANS'!T90+'RETAIL CREDIT'!S90</f>
        <v>2804</v>
      </c>
      <c r="S92" s="14">
        <f t="shared" si="107"/>
        <v>0.031223901205973074</v>
      </c>
      <c r="T92" s="56"/>
      <c r="U92" s="55"/>
      <c r="V92" s="56"/>
      <c r="W92" s="9">
        <f>+'CAR FINANCE'!W91+'UNSECURED LOANS'!Y90+'RETAIL CREDIT'!X90</f>
        <v>2052750.42</v>
      </c>
      <c r="X92" s="14">
        <f t="shared" si="108"/>
        <v>0.00912362754981681</v>
      </c>
      <c r="Y92" s="10">
        <f>+'CAR FINANCE'!Y91+'UNSECURED LOANS'!AA90+'RETAIL CREDIT'!Z90</f>
        <v>2393</v>
      </c>
      <c r="Z92" s="14">
        <f t="shared" si="82"/>
        <v>0.028702681955572615</v>
      </c>
      <c r="AA92" s="56"/>
      <c r="AB92" s="55"/>
      <c r="AC92" s="56"/>
      <c r="AD92" s="34"/>
      <c r="AE92" s="9">
        <f>+'CAR FINANCE'!AD91+'UNSECURED LOANS'!AF90+'RETAIL CREDIT'!AE90</f>
        <v>1869322.2799999998</v>
      </c>
      <c r="AF92" s="14">
        <f t="shared" si="83"/>
        <v>0.008044546075343892</v>
      </c>
      <c r="AG92" s="10">
        <f>+'CAR FINANCE'!AF91+'UNSECURED LOANS'!AH90+'RETAIL CREDIT'!AG90</f>
        <v>2055</v>
      </c>
      <c r="AH92" s="14">
        <f t="shared" si="84"/>
        <v>0.026880313930673642</v>
      </c>
      <c r="AI92" s="56"/>
      <c r="AJ92" s="55"/>
      <c r="AK92" s="56"/>
      <c r="AL92" s="9">
        <f>+'CAR FINANCE'!AK91+'UNSECURED LOANS'!AM90+'RETAIL CREDIT'!AL90</f>
        <v>1868343.45</v>
      </c>
      <c r="AM92" s="14">
        <f t="shared" si="85"/>
        <v>0.008175561447621467</v>
      </c>
      <c r="AN92" s="10">
        <f>+'CAR FINANCE'!AM91+'UNSECURED LOANS'!AO90+'RETAIL CREDIT'!AN90</f>
        <v>1897</v>
      </c>
      <c r="AO92" s="14">
        <f t="shared" si="86"/>
        <v>0.02556638229625736</v>
      </c>
      <c r="AP92" s="56"/>
      <c r="AQ92" s="55"/>
      <c r="AR92" s="56"/>
      <c r="AS92" s="9">
        <f>+'CAR FINANCE'!AR91+'UNSECURED LOANS'!AT90+'RETAIL CREDIT'!AS90</f>
        <v>1770055.79</v>
      </c>
      <c r="AT92" s="14">
        <f t="shared" si="87"/>
        <v>0.00783378349553847</v>
      </c>
      <c r="AU92" s="10">
        <f>+'CAR FINANCE'!AT91+'UNSECURED LOANS'!AV90+'RETAIL CREDIT'!AU90</f>
        <v>1640</v>
      </c>
      <c r="AV92" s="14">
        <f t="shared" si="88"/>
        <v>0.02328255653828135</v>
      </c>
      <c r="AW92" s="56"/>
      <c r="AX92" s="55"/>
      <c r="AY92" s="56"/>
      <c r="AZ92" s="9">
        <f>+'CAR FINANCE'!AY91+'UNSECURED LOANS'!BA90+'RETAIL CREDIT'!AZ90</f>
        <v>1801956.4300000002</v>
      </c>
      <c r="BA92" s="14">
        <f t="shared" si="109"/>
        <v>0.006821135108757285</v>
      </c>
      <c r="BB92" s="10">
        <f>+'CAR FINANCE'!BA91+'UNSECURED LOANS'!BC90+'RETAIL CREDIT'!BB90</f>
        <v>1552</v>
      </c>
      <c r="BC92" s="14">
        <f t="shared" si="89"/>
        <v>0.02107865107498404</v>
      </c>
      <c r="BD92" s="56"/>
      <c r="BE92" s="55"/>
      <c r="BF92" s="56"/>
      <c r="BG92" s="9">
        <f>+'CAR FINANCE'!BE91+'UNSECURED LOANS'!BH90+'RETAIL CREDIT'!BG90</f>
        <v>1624153.26</v>
      </c>
      <c r="BH92" s="14">
        <f t="shared" si="90"/>
        <v>0.006864098986933123</v>
      </c>
      <c r="BI92" s="10">
        <f>+'CAR FINANCE'!BG91+'UNSECURED LOANS'!BJ90+'RETAIL CREDIT'!BI90</f>
        <v>1386</v>
      </c>
      <c r="BJ92" s="14">
        <f t="shared" si="91"/>
        <v>0.021476052497017215</v>
      </c>
      <c r="BK92" s="56"/>
      <c r="BL92" s="55"/>
      <c r="BM92" s="56"/>
      <c r="BN92" s="9">
        <f>+'CAR FINANCE'!BL91+'UNSECURED LOANS'!BO90+'RETAIL CREDIT'!BN90</f>
        <v>1453294.38</v>
      </c>
      <c r="BO92" s="14">
        <f t="shared" si="92"/>
        <v>0.006693839663935222</v>
      </c>
      <c r="BP92" s="10">
        <f>+'CAR FINANCE'!BN91+'UNSECURED LOANS'!BQ90+'RETAIL CREDIT'!BP90</f>
        <v>1272</v>
      </c>
      <c r="BQ92" s="14">
        <f t="shared" si="93"/>
        <v>0.021874086430155974</v>
      </c>
      <c r="BR92" s="56"/>
      <c r="BS92" s="55"/>
      <c r="BT92" s="56"/>
      <c r="BU92" s="9">
        <f>+'CAR FINANCE'!BS91+'UNSECURED LOANS'!BV90+'RETAIL CREDIT'!BU90</f>
        <v>1261080.44</v>
      </c>
      <c r="BV92" s="14">
        <f t="shared" si="94"/>
        <v>0.005433694656524682</v>
      </c>
      <c r="BW92" s="10">
        <f>+'CAR FINANCE'!BU91+'UNSECURED LOANS'!BX90+'RETAIL CREDIT'!BW90</f>
        <v>1154</v>
      </c>
      <c r="BX92" s="14">
        <f t="shared" si="95"/>
        <v>0.020667299460930925</v>
      </c>
      <c r="BY92" s="56"/>
      <c r="BZ92" s="55"/>
      <c r="CA92" s="56"/>
      <c r="CB92" s="9">
        <f>+'CAR FINANCE'!BZ91+'UNSECURED LOANS'!CC90+'RETAIL CREDIT'!CB90</f>
        <v>1162528.049999999</v>
      </c>
      <c r="CC92" s="14">
        <f t="shared" si="96"/>
        <v>0.0049928932189819445</v>
      </c>
      <c r="CD92" s="10">
        <f>+'CAR FINANCE'!CB91+'UNSECURED LOANS'!CE90+'RETAIL CREDIT'!CD90</f>
        <v>1113</v>
      </c>
      <c r="CE92" s="14">
        <f t="shared" si="97"/>
        <v>0.020288745488351745</v>
      </c>
      <c r="CF92" s="56"/>
      <c r="CG92" s="55"/>
      <c r="CH92" s="56"/>
      <c r="CI92" s="9">
        <f>+'CAR FINANCE'!CG91+'UNSECURED LOANS'!CJ90+'RETAIL CREDIT'!CI90</f>
        <v>985763.2399999995</v>
      </c>
      <c r="CJ92" s="14">
        <f t="shared" si="98"/>
        <v>0.0044101582856399734</v>
      </c>
      <c r="CK92" s="10">
        <f>+'CAR FINANCE'!CI91+'UNSECURED LOANS'!CL90+'RETAIL CREDIT'!CK90</f>
        <v>985</v>
      </c>
      <c r="CL92" s="14">
        <f t="shared" si="99"/>
        <v>0.020923612881298327</v>
      </c>
      <c r="CM92" s="56"/>
      <c r="CN92" s="55"/>
      <c r="CO92" s="9">
        <f>+'CAR FINANCE'!CN91+'UNSECURED LOANS'!CQ90+'RETAIL CREDIT'!CP90</f>
        <v>847924.66</v>
      </c>
      <c r="CP92" s="14">
        <f t="shared" si="100"/>
        <v>0.003983273623953603</v>
      </c>
      <c r="CQ92" s="10">
        <f>+'CAR FINANCE'!CP91+'UNSECURED LOANS'!CS90+'RETAIL CREDIT'!CR90</f>
        <v>878</v>
      </c>
      <c r="CR92" s="14">
        <f t="shared" si="101"/>
        <v>0.021809871575129793</v>
      </c>
      <c r="CS92" s="34"/>
      <c r="CT92" s="34"/>
      <c r="CU92" s="100">
        <f>+'CAR FINANCE'!CU91+'UNSECURED LOANS'!CX90+'RETAIL CREDIT'!CW90</f>
        <v>737964.74</v>
      </c>
      <c r="CV92" s="14">
        <f t="shared" si="102"/>
        <v>0.0030670335879120097</v>
      </c>
      <c r="CW92" s="10">
        <f>+'CAR FINANCE'!CW91+'UNSECURED LOANS'!CZ90+'RETAIL CREDIT'!CY90</f>
        <v>772</v>
      </c>
      <c r="CX92" s="14">
        <f t="shared" si="103"/>
        <v>0.01766388285093239</v>
      </c>
      <c r="CY92" s="34"/>
      <c r="CZ92" s="34"/>
    </row>
    <row r="93" spans="1:104" ht="12.75">
      <c r="A93" s="8" t="s">
        <v>75</v>
      </c>
      <c r="B93" s="8"/>
      <c r="C93" s="8"/>
      <c r="D93" s="9">
        <f>+'RETAIL CREDIT'!D91+'UNSECURED LOANS'!D91+'CAR FINANCE'!D92</f>
        <v>1092893.5999999999</v>
      </c>
      <c r="E93" s="14">
        <f t="shared" si="104"/>
        <v>0.005362609569577023</v>
      </c>
      <c r="F93" s="10">
        <f>+'RETAIL CREDIT'!F91+'UNSECURED LOANS'!F91+'CAR FINANCE'!F92</f>
        <v>1312</v>
      </c>
      <c r="G93" s="14">
        <f t="shared" si="105"/>
        <v>0.01299395860156482</v>
      </c>
      <c r="H93" s="14"/>
      <c r="I93" s="9">
        <v>915103.53</v>
      </c>
      <c r="J93" s="14">
        <v>0.0052</v>
      </c>
      <c r="K93" s="10">
        <v>1306</v>
      </c>
      <c r="L93" s="14">
        <v>0.016</v>
      </c>
      <c r="M93" s="56"/>
      <c r="N93" s="55"/>
      <c r="O93" s="56"/>
      <c r="P93" s="9">
        <f>+'CAR FINANCE'!P92+'UNSECURED LOANS'!R91+'RETAIL CREDIT'!Q91</f>
        <v>1030070.48</v>
      </c>
      <c r="Q93" s="14">
        <f t="shared" si="106"/>
        <v>0.004578237723405765</v>
      </c>
      <c r="R93" s="10">
        <f>+'CAR FINANCE'!R92+'UNSECURED LOANS'!T91+'RETAIL CREDIT'!S91</f>
        <v>1344</v>
      </c>
      <c r="S93" s="14">
        <f t="shared" si="107"/>
        <v>0.014966092446800219</v>
      </c>
      <c r="T93" s="56"/>
      <c r="U93" s="55"/>
      <c r="V93" s="56"/>
      <c r="W93" s="9">
        <f>+'CAR FINANCE'!W92+'UNSECURED LOANS'!Y91+'RETAIL CREDIT'!X91</f>
        <v>941396.1</v>
      </c>
      <c r="X93" s="14">
        <f t="shared" si="108"/>
        <v>0.0041841167389701965</v>
      </c>
      <c r="Y93" s="10">
        <f>+'CAR FINANCE'!Y92+'UNSECURED LOANS'!AA91+'RETAIL CREDIT'!Z91</f>
        <v>1201</v>
      </c>
      <c r="Z93" s="14">
        <f t="shared" si="82"/>
        <v>0.014405315933406899</v>
      </c>
      <c r="AA93" s="56"/>
      <c r="AB93" s="55"/>
      <c r="AC93" s="56"/>
      <c r="AD93" s="34"/>
      <c r="AE93" s="9">
        <f>+'CAR FINANCE'!AD92+'UNSECURED LOANS'!AF91+'RETAIL CREDIT'!AE91</f>
        <v>802378.33</v>
      </c>
      <c r="AF93" s="14">
        <f t="shared" si="83"/>
        <v>0.0034529997928139425</v>
      </c>
      <c r="AG93" s="10">
        <f>+'CAR FINANCE'!AF92+'UNSECURED LOANS'!AH91+'RETAIL CREDIT'!AG91</f>
        <v>1116</v>
      </c>
      <c r="AH93" s="14">
        <f t="shared" si="84"/>
        <v>0.01459777632439503</v>
      </c>
      <c r="AI93" s="56"/>
      <c r="AJ93" s="55"/>
      <c r="AK93" s="56"/>
      <c r="AL93" s="9">
        <f>+'CAR FINANCE'!AK92+'UNSECURED LOANS'!AM91+'RETAIL CREDIT'!AL91</f>
        <v>724161.45</v>
      </c>
      <c r="AM93" s="14">
        <f t="shared" si="85"/>
        <v>0.0031688105484426114</v>
      </c>
      <c r="AN93" s="10">
        <f>+'CAR FINANCE'!AM92+'UNSECURED LOANS'!AO91+'RETAIL CREDIT'!AN91</f>
        <v>1005</v>
      </c>
      <c r="AO93" s="14">
        <f t="shared" si="86"/>
        <v>0.013544656936077306</v>
      </c>
      <c r="AP93" s="56"/>
      <c r="AQ93" s="55"/>
      <c r="AR93" s="56"/>
      <c r="AS93" s="9">
        <f>+'CAR FINANCE'!AR92+'UNSECURED LOANS'!AT91+'RETAIL CREDIT'!AS91</f>
        <v>603367.59</v>
      </c>
      <c r="AT93" s="14">
        <f t="shared" si="87"/>
        <v>0.0026703401638458082</v>
      </c>
      <c r="AU93" s="10">
        <f>+'CAR FINANCE'!AT92+'UNSECURED LOANS'!AV91+'RETAIL CREDIT'!AU91</f>
        <v>690</v>
      </c>
      <c r="AV93" s="14">
        <f t="shared" si="88"/>
        <v>0.009795709763057396</v>
      </c>
      <c r="AW93" s="56"/>
      <c r="AX93" s="55"/>
      <c r="AY93" s="56"/>
      <c r="AZ93" s="9">
        <f>+'CAR FINANCE'!AY92+'UNSECURED LOANS'!BA91+'RETAIL CREDIT'!AZ91</f>
        <v>595090.68</v>
      </c>
      <c r="BA93" s="14">
        <f t="shared" si="109"/>
        <v>0.0022526593111034583</v>
      </c>
      <c r="BB93" s="10">
        <f>+'CAR FINANCE'!BA92+'UNSECURED LOANS'!BC91+'RETAIL CREDIT'!BB91</f>
        <v>544</v>
      </c>
      <c r="BC93" s="14">
        <f t="shared" si="89"/>
        <v>0.007388393160303684</v>
      </c>
      <c r="BD93" s="56"/>
      <c r="BE93" s="55"/>
      <c r="BF93" s="56"/>
      <c r="BG93" s="9">
        <f>+'CAR FINANCE'!BE92+'UNSECURED LOANS'!BH91+'RETAIL CREDIT'!BG91</f>
        <v>526813.99</v>
      </c>
      <c r="BH93" s="14">
        <f t="shared" si="90"/>
        <v>0.0022264545250250557</v>
      </c>
      <c r="BI93" s="10">
        <f>+'CAR FINANCE'!BG92+'UNSECURED LOANS'!BJ91+'RETAIL CREDIT'!BI91</f>
        <v>475</v>
      </c>
      <c r="BJ93" s="14">
        <f t="shared" si="91"/>
        <v>0.007360119001503014</v>
      </c>
      <c r="BK93" s="56"/>
      <c r="BL93" s="55"/>
      <c r="BM93" s="56"/>
      <c r="BN93" s="9">
        <f>+'CAR FINANCE'!BL92+'UNSECURED LOANS'!BO91+'RETAIL CREDIT'!BN91</f>
        <v>461325.77</v>
      </c>
      <c r="BO93" s="14">
        <f t="shared" si="92"/>
        <v>0.0021248556243790456</v>
      </c>
      <c r="BP93" s="10">
        <f>+'CAR FINANCE'!BN92+'UNSECURED LOANS'!BQ91+'RETAIL CREDIT'!BP91</f>
        <v>407</v>
      </c>
      <c r="BQ93" s="14">
        <f t="shared" si="93"/>
        <v>0.006999019793296762</v>
      </c>
      <c r="BR93" s="56"/>
      <c r="BS93" s="55"/>
      <c r="BT93" s="56"/>
      <c r="BU93" s="9">
        <f>+'CAR FINANCE'!BS92+'UNSECURED LOANS'!BV91+'RETAIL CREDIT'!BU91</f>
        <v>398027.6</v>
      </c>
      <c r="BV93" s="14">
        <f t="shared" si="94"/>
        <v>0.0017150059382963258</v>
      </c>
      <c r="BW93" s="10">
        <f>+'CAR FINANCE'!BU92+'UNSECURED LOANS'!BX91+'RETAIL CREDIT'!BW91</f>
        <v>365</v>
      </c>
      <c r="BX93" s="14">
        <f t="shared" si="95"/>
        <v>0.006536884144921826</v>
      </c>
      <c r="BY93" s="56"/>
      <c r="BZ93" s="55"/>
      <c r="CA93" s="56"/>
      <c r="CB93" s="9">
        <f>+'CAR FINANCE'!BZ92+'UNSECURED LOANS'!CC91+'RETAIL CREDIT'!CB91</f>
        <v>360914.24</v>
      </c>
      <c r="CC93" s="14">
        <f t="shared" si="96"/>
        <v>0.0015500755113220912</v>
      </c>
      <c r="CD93" s="10">
        <f>+'CAR FINANCE'!CB92+'UNSECURED LOANS'!CE91+'RETAIL CREDIT'!CD91</f>
        <v>343</v>
      </c>
      <c r="CE93" s="14">
        <f t="shared" si="97"/>
        <v>0.006252506471253054</v>
      </c>
      <c r="CF93" s="56"/>
      <c r="CG93" s="55"/>
      <c r="CH93" s="56"/>
      <c r="CI93" s="9">
        <f>+'CAR FINANCE'!CG92+'UNSECURED LOANS'!CJ91+'RETAIL CREDIT'!CI91</f>
        <v>302755.89</v>
      </c>
      <c r="CJ93" s="14">
        <f t="shared" si="98"/>
        <v>0.001354484872868464</v>
      </c>
      <c r="CK93" s="10">
        <f>+'CAR FINANCE'!CI92+'UNSECURED LOANS'!CL91+'RETAIL CREDIT'!CK91</f>
        <v>290</v>
      </c>
      <c r="CL93" s="14">
        <f t="shared" si="99"/>
        <v>0.006160251508199507</v>
      </c>
      <c r="CM93" s="56"/>
      <c r="CN93" s="55"/>
      <c r="CO93" s="9">
        <f>+'CAR FINANCE'!CN92+'UNSECURED LOANS'!CQ91+'RETAIL CREDIT'!CP91</f>
        <v>261052.53</v>
      </c>
      <c r="CP93" s="14">
        <f t="shared" si="100"/>
        <v>0.0012263396811874262</v>
      </c>
      <c r="CQ93" s="10">
        <f>+'CAR FINANCE'!CP92+'UNSECURED LOANS'!CS91+'RETAIL CREDIT'!CR91</f>
        <v>262</v>
      </c>
      <c r="CR93" s="14">
        <f t="shared" si="101"/>
        <v>0.006508184911940781</v>
      </c>
      <c r="CS93" s="34"/>
      <c r="CT93" s="34"/>
      <c r="CU93" s="100">
        <f>+'CAR FINANCE'!CU92+'UNSECURED LOANS'!CX91+'RETAIL CREDIT'!CW91</f>
        <v>229925.42</v>
      </c>
      <c r="CV93" s="14">
        <f t="shared" si="102"/>
        <v>0.0009555862870288028</v>
      </c>
      <c r="CW93" s="10">
        <f>+'CAR FINANCE'!CW92+'UNSECURED LOANS'!CZ91+'RETAIL CREDIT'!CY91</f>
        <v>237</v>
      </c>
      <c r="CX93" s="14">
        <f t="shared" si="103"/>
        <v>0.005422720512527171</v>
      </c>
      <c r="CY93" s="34"/>
      <c r="CZ93" s="34"/>
    </row>
    <row r="94" spans="1:104" ht="12.75">
      <c r="A94" s="8" t="s">
        <v>76</v>
      </c>
      <c r="B94" s="8"/>
      <c r="C94" s="8"/>
      <c r="D94" s="9">
        <f>+'RETAIL CREDIT'!D92+'UNSECURED LOANS'!D92+'CAR FINANCE'!D93</f>
        <v>11442996.35</v>
      </c>
      <c r="E94" s="14">
        <f t="shared" si="104"/>
        <v>0.05614848666983222</v>
      </c>
      <c r="F94" s="10">
        <f>+'RETAIL CREDIT'!F92+'UNSECURED LOANS'!F92+'CAR FINANCE'!F93</f>
        <v>11998</v>
      </c>
      <c r="G94" s="14">
        <f t="shared" si="105"/>
        <v>0.11882737446766366</v>
      </c>
      <c r="H94" s="14"/>
      <c r="I94" s="9">
        <v>9947126.09</v>
      </c>
      <c r="J94" s="14">
        <v>0.0569</v>
      </c>
      <c r="K94" s="10">
        <v>11913</v>
      </c>
      <c r="L94" s="14">
        <v>0.1463</v>
      </c>
      <c r="M94" s="56"/>
      <c r="N94" s="55"/>
      <c r="O94" s="56"/>
      <c r="P94" s="9">
        <f>+'CAR FINANCE'!P93+'UNSECURED LOANS'!R92+'RETAIL CREDIT'!Q92</f>
        <v>15532232.050000124</v>
      </c>
      <c r="Q94" s="14">
        <f t="shared" si="106"/>
        <v>0.06903435452300566</v>
      </c>
      <c r="R94" s="10">
        <f>+'CAR FINANCE'!R93+'UNSECURED LOANS'!T92+'RETAIL CREDIT'!S92</f>
        <v>15889</v>
      </c>
      <c r="S94" s="14">
        <f t="shared" si="107"/>
        <v>0.17693172833869691</v>
      </c>
      <c r="T94" s="56"/>
      <c r="U94" s="55"/>
      <c r="V94" s="56"/>
      <c r="W94" s="9">
        <f>+'CAR FINANCE'!W93+'UNSECURED LOANS'!Y92+'RETAIL CREDIT'!X92</f>
        <v>13996138.829999892</v>
      </c>
      <c r="X94" s="14">
        <f t="shared" si="108"/>
        <v>0.06220705477699907</v>
      </c>
      <c r="Y94" s="10">
        <f>+'CAR FINANCE'!Y93+'UNSECURED LOANS'!AA92+'RETAIL CREDIT'!Z92</f>
        <v>13908</v>
      </c>
      <c r="Z94" s="14">
        <f t="shared" si="82"/>
        <v>0.16681859617137648</v>
      </c>
      <c r="AA94" s="56"/>
      <c r="AB94" s="55"/>
      <c r="AC94" s="56"/>
      <c r="AD94" s="34"/>
      <c r="AE94" s="9">
        <f>+'CAR FINANCE'!AD93+'UNSECURED LOANS'!AF92+'RETAIL CREDIT'!AE92</f>
        <v>12000762.349999964</v>
      </c>
      <c r="AF94" s="14">
        <f t="shared" si="83"/>
        <v>0.051644752056251624</v>
      </c>
      <c r="AG94" s="10">
        <f>+'CAR FINANCE'!AF93+'UNSECURED LOANS'!AH92+'RETAIL CREDIT'!AG92</f>
        <v>12261</v>
      </c>
      <c r="AH94" s="14">
        <f t="shared" si="84"/>
        <v>0.1603793328973185</v>
      </c>
      <c r="AI94" s="56"/>
      <c r="AJ94" s="55"/>
      <c r="AK94" s="56"/>
      <c r="AL94" s="9">
        <f>+'CAR FINANCE'!AK93+'UNSECURED LOANS'!AM92+'RETAIL CREDIT'!AL92</f>
        <v>11464060.18999997</v>
      </c>
      <c r="AM94" s="14">
        <f t="shared" si="85"/>
        <v>0.05016482837915898</v>
      </c>
      <c r="AN94" s="10">
        <f>+'CAR FINANCE'!AM93+'UNSECURED LOANS'!AO92+'RETAIL CREDIT'!AN92</f>
        <v>11739</v>
      </c>
      <c r="AO94" s="14">
        <f t="shared" si="86"/>
        <v>0.15820967937573283</v>
      </c>
      <c r="AP94" s="56"/>
      <c r="AQ94" s="55"/>
      <c r="AR94" s="56"/>
      <c r="AS94" s="9">
        <f>+'CAR FINANCE'!AR93+'UNSECURED LOANS'!AT92+'RETAIL CREDIT'!AS92</f>
        <v>10881292.159999946</v>
      </c>
      <c r="AT94" s="14">
        <f t="shared" si="87"/>
        <v>0.04815762724243834</v>
      </c>
      <c r="AU94" s="10">
        <f>+'CAR FINANCE'!AT93+'UNSECURED LOANS'!AV92+'RETAIL CREDIT'!AU92</f>
        <v>11092</v>
      </c>
      <c r="AV94" s="14">
        <f t="shared" si="88"/>
        <v>0.15746958361135166</v>
      </c>
      <c r="AW94" s="56"/>
      <c r="AX94" s="55"/>
      <c r="AY94" s="56"/>
      <c r="AZ94" s="9">
        <f>+'CAR FINANCE'!AY93+'UNSECURED LOANS'!BA92+'RETAIL CREDIT'!AZ92</f>
        <v>10986978.30999995</v>
      </c>
      <c r="BA94" s="14">
        <f t="shared" si="109"/>
        <v>0.04159016402494007</v>
      </c>
      <c r="BB94" s="10">
        <f>+'CAR FINANCE'!BA93+'UNSECURED LOANS'!BC92+'RETAIL CREDIT'!BB92</f>
        <v>10909</v>
      </c>
      <c r="BC94" s="14">
        <f t="shared" si="89"/>
        <v>0.14816172975322223</v>
      </c>
      <c r="BD94" s="56"/>
      <c r="BE94" s="55"/>
      <c r="BF94" s="56"/>
      <c r="BG94" s="9">
        <f>+'CAR FINANCE'!BE93+'UNSECURED LOANS'!BH92+'RETAIL CREDIT'!BG92</f>
        <v>9663041.179999994</v>
      </c>
      <c r="BH94" s="14">
        <f t="shared" si="90"/>
        <v>0.04083855434574629</v>
      </c>
      <c r="BI94" s="10">
        <f>+'CAR FINANCE'!BG93+'UNSECURED LOANS'!BJ92+'RETAIL CREDIT'!BI92</f>
        <v>9424</v>
      </c>
      <c r="BJ94" s="14">
        <f t="shared" si="91"/>
        <v>0.14602476098981979</v>
      </c>
      <c r="BK94" s="56"/>
      <c r="BL94" s="55"/>
      <c r="BM94" s="56"/>
      <c r="BN94" s="9">
        <f>+'CAR FINANCE'!BL93+'UNSECURED LOANS'!BO92+'RETAIL CREDIT'!BN92</f>
        <v>8731896.629999988</v>
      </c>
      <c r="BO94" s="14">
        <f t="shared" si="92"/>
        <v>0.040218910089830674</v>
      </c>
      <c r="BP94" s="10">
        <f>+'CAR FINANCE'!BN93+'UNSECURED LOANS'!BQ92+'RETAIL CREDIT'!BP92</f>
        <v>8412</v>
      </c>
      <c r="BQ94" s="14">
        <f t="shared" si="93"/>
        <v>0.14465787346735223</v>
      </c>
      <c r="BR94" s="56"/>
      <c r="BS94" s="55"/>
      <c r="BT94" s="56"/>
      <c r="BU94" s="9">
        <f>+'CAR FINANCE'!BS93+'UNSECURED LOANS'!BV92+'RETAIL CREDIT'!BU92</f>
        <v>8213407.480000021</v>
      </c>
      <c r="BV94" s="14">
        <f t="shared" si="94"/>
        <v>0.035389612684767334</v>
      </c>
      <c r="BW94" s="10">
        <f>+'CAR FINANCE'!BU93+'UNSECURED LOANS'!BX92+'RETAIL CREDIT'!BW92</f>
        <v>7885</v>
      </c>
      <c r="BX94" s="14">
        <f t="shared" si="95"/>
        <v>0.14121460680194137</v>
      </c>
      <c r="BY94" s="56"/>
      <c r="BZ94" s="55"/>
      <c r="CA94" s="56"/>
      <c r="CB94" s="9">
        <f>+'CAR FINANCE'!BZ93+'UNSECURED LOANS'!CC92+'RETAIL CREDIT'!CB92</f>
        <v>8309900.9100000085</v>
      </c>
      <c r="CC94" s="14">
        <f t="shared" si="96"/>
        <v>0.0356898467129038</v>
      </c>
      <c r="CD94" s="10">
        <f>+'CAR FINANCE'!CB93+'UNSECURED LOANS'!CE92+'RETAIL CREDIT'!CD92</f>
        <v>7824</v>
      </c>
      <c r="CE94" s="14">
        <f t="shared" si="97"/>
        <v>0.142622771519195</v>
      </c>
      <c r="CF94" s="56"/>
      <c r="CG94" s="55"/>
      <c r="CH94" s="56"/>
      <c r="CI94" s="9">
        <f>+'CAR FINANCE'!CG93+'UNSECURED LOANS'!CJ92+'RETAIL CREDIT'!CI92</f>
        <v>7096653.9700000025</v>
      </c>
      <c r="CJ94" s="14">
        <f t="shared" si="98"/>
        <v>0.03174937554591236</v>
      </c>
      <c r="CK94" s="10">
        <f>+'CAR FINANCE'!CI93+'UNSECURED LOANS'!CL92+'RETAIL CREDIT'!CK92</f>
        <v>6540</v>
      </c>
      <c r="CL94" s="14">
        <f t="shared" si="99"/>
        <v>0.1389242926331889</v>
      </c>
      <c r="CM94" s="56"/>
      <c r="CN94" s="55"/>
      <c r="CO94" s="9">
        <f>+'CAR FINANCE'!CN93+'UNSECURED LOANS'!CQ92+'RETAIL CREDIT'!CP92</f>
        <v>6110565.360000007</v>
      </c>
      <c r="CP94" s="14">
        <f t="shared" si="100"/>
        <v>0.02870544397887022</v>
      </c>
      <c r="CQ94" s="10">
        <f>+'CAR FINANCE'!CP93+'UNSECURED LOANS'!CS92+'RETAIL CREDIT'!CR92</f>
        <v>5689</v>
      </c>
      <c r="CR94" s="14">
        <f t="shared" si="101"/>
        <v>0.14131703803065304</v>
      </c>
      <c r="CS94" s="34"/>
      <c r="CT94" s="34"/>
      <c r="CU94" s="100">
        <f>+'CAR FINANCE'!CU93+'UNSECURED LOANS'!CX92+'RETAIL CREDIT'!CW92</f>
        <v>5727260.550000012</v>
      </c>
      <c r="CV94" s="14">
        <f t="shared" si="102"/>
        <v>0.02380289940895204</v>
      </c>
      <c r="CW94" s="10">
        <f>+'CAR FINANCE'!CW93+'UNSECURED LOANS'!CZ92+'RETAIL CREDIT'!CY92</f>
        <v>5189</v>
      </c>
      <c r="CX94" s="14">
        <f t="shared" si="103"/>
        <v>0.11872783434389658</v>
      </c>
      <c r="CY94" s="34"/>
      <c r="CZ94" s="34"/>
    </row>
    <row r="95" spans="1:104" ht="12.75">
      <c r="A95" s="8"/>
      <c r="B95" s="8"/>
      <c r="C95" s="8"/>
      <c r="D95" s="9"/>
      <c r="E95" s="8"/>
      <c r="F95" s="10"/>
      <c r="G95" s="8"/>
      <c r="H95" s="8"/>
      <c r="I95" s="9"/>
      <c r="J95" s="8"/>
      <c r="K95" s="10"/>
      <c r="L95" s="8"/>
      <c r="M95" s="54"/>
      <c r="N95" s="55"/>
      <c r="O95" s="54"/>
      <c r="P95" s="9"/>
      <c r="Q95" s="8"/>
      <c r="R95" s="10"/>
      <c r="S95" s="8"/>
      <c r="T95" s="54"/>
      <c r="U95" s="55"/>
      <c r="V95" s="54"/>
      <c r="W95" s="9"/>
      <c r="X95" s="8"/>
      <c r="Y95" s="10"/>
      <c r="Z95" s="14"/>
      <c r="AA95" s="54"/>
      <c r="AB95" s="55"/>
      <c r="AC95" s="54"/>
      <c r="AD95" s="34"/>
      <c r="AE95" s="9"/>
      <c r="AF95" s="14"/>
      <c r="AG95" s="10"/>
      <c r="AH95" s="14"/>
      <c r="AI95" s="54"/>
      <c r="AJ95" s="55"/>
      <c r="AK95" s="54"/>
      <c r="AL95" s="9"/>
      <c r="AM95" s="14"/>
      <c r="AN95" s="10"/>
      <c r="AO95" s="14"/>
      <c r="AP95" s="54"/>
      <c r="AQ95" s="55"/>
      <c r="AR95" s="54"/>
      <c r="AS95" s="9"/>
      <c r="AT95" s="14"/>
      <c r="AU95" s="10"/>
      <c r="AV95" s="14"/>
      <c r="AW95" s="54"/>
      <c r="AX95" s="55"/>
      <c r="AY95" s="54"/>
      <c r="AZ95" s="9"/>
      <c r="BA95" s="14"/>
      <c r="BB95" s="10"/>
      <c r="BC95" s="14"/>
      <c r="BD95" s="54"/>
      <c r="BE95" s="55"/>
      <c r="BF95" s="54"/>
      <c r="BG95" s="9"/>
      <c r="BH95" s="14"/>
      <c r="BI95" s="10"/>
      <c r="BJ95" s="14"/>
      <c r="BK95" s="54"/>
      <c r="BL95" s="55"/>
      <c r="BM95" s="54"/>
      <c r="BN95" s="9"/>
      <c r="BO95" s="14"/>
      <c r="BP95" s="10"/>
      <c r="BQ95" s="14"/>
      <c r="BR95" s="54"/>
      <c r="BS95" s="55"/>
      <c r="BT95" s="54"/>
      <c r="BU95" s="9"/>
      <c r="BV95" s="14"/>
      <c r="BW95" s="10"/>
      <c r="BX95" s="14"/>
      <c r="BY95" s="54"/>
      <c r="BZ95" s="55"/>
      <c r="CA95" s="54"/>
      <c r="CB95" s="9"/>
      <c r="CC95" s="14"/>
      <c r="CD95" s="10"/>
      <c r="CE95" s="14"/>
      <c r="CF95" s="54"/>
      <c r="CG95" s="55"/>
      <c r="CH95" s="54"/>
      <c r="CI95" s="9"/>
      <c r="CJ95" s="14"/>
      <c r="CK95" s="10"/>
      <c r="CL95" s="14"/>
      <c r="CM95" s="54"/>
      <c r="CN95" s="55"/>
      <c r="CO95" s="9"/>
      <c r="CP95" s="14"/>
      <c r="CQ95" s="10"/>
      <c r="CR95" s="14"/>
      <c r="CS95" s="34"/>
      <c r="CT95" s="34"/>
      <c r="CU95" s="9"/>
      <c r="CV95" s="14"/>
      <c r="CW95" s="10"/>
      <c r="CX95" s="14"/>
      <c r="CY95" s="34"/>
      <c r="CZ95" s="34"/>
    </row>
    <row r="96" spans="1:104" ht="13.5" thickBot="1">
      <c r="A96" s="8"/>
      <c r="B96" s="12"/>
      <c r="C96" s="12"/>
      <c r="D96" s="21">
        <f>SUM(D83:D95)</f>
        <v>203798838.2000001</v>
      </c>
      <c r="E96" s="12"/>
      <c r="F96" s="22">
        <f>SUM(F83:F95)</f>
        <v>100970</v>
      </c>
      <c r="G96" s="12"/>
      <c r="H96" s="12"/>
      <c r="I96" s="21">
        <f>SUM(I83:I95)</f>
        <v>174725987.59999996</v>
      </c>
      <c r="J96" s="12"/>
      <c r="K96" s="22">
        <f>SUM(K83:K95)</f>
        <v>81454</v>
      </c>
      <c r="L96" s="12"/>
      <c r="M96" s="53"/>
      <c r="N96" s="31"/>
      <c r="O96" s="53"/>
      <c r="P96" s="21">
        <f>SUM(P83:P95)</f>
        <v>224992790.28999996</v>
      </c>
      <c r="Q96" s="12"/>
      <c r="R96" s="22">
        <f>SUM(R83:R95)</f>
        <v>89803</v>
      </c>
      <c r="S96" s="12"/>
      <c r="T96" s="53"/>
      <c r="U96" s="31"/>
      <c r="V96" s="53"/>
      <c r="W96" s="21">
        <f>SUM(W83:W95)</f>
        <v>235112271.31999978</v>
      </c>
      <c r="X96" s="12"/>
      <c r="Y96" s="22">
        <f>SUM(Y83:Y95)</f>
        <v>83372</v>
      </c>
      <c r="Z96" s="81"/>
      <c r="AA96" s="53"/>
      <c r="AB96" s="31"/>
      <c r="AC96" s="53"/>
      <c r="AD96" s="34"/>
      <c r="AE96" s="21">
        <f>SUM(AE83:AE95)</f>
        <v>232371380.87000006</v>
      </c>
      <c r="AF96" s="81"/>
      <c r="AG96" s="22">
        <f>SUM(AG83:AG95)</f>
        <v>76450</v>
      </c>
      <c r="AH96" s="81"/>
      <c r="AI96" s="53"/>
      <c r="AJ96" s="31"/>
      <c r="AK96" s="53"/>
      <c r="AL96" s="21">
        <f>SUM(AL83:AL95)</f>
        <v>228527846.31</v>
      </c>
      <c r="AM96" s="81"/>
      <c r="AN96" s="22">
        <f>SUM(AN83:AN95)</f>
        <v>74199</v>
      </c>
      <c r="AO96" s="81"/>
      <c r="AP96" s="53"/>
      <c r="AQ96" s="31"/>
      <c r="AR96" s="53"/>
      <c r="AS96" s="21">
        <f>SUM(AS83:AS95)</f>
        <v>225951584.05999985</v>
      </c>
      <c r="AT96" s="81"/>
      <c r="AU96" s="22">
        <f>SUM(AU83:AU95)</f>
        <v>70439</v>
      </c>
      <c r="AV96" s="81"/>
      <c r="AW96" s="53"/>
      <c r="AX96" s="31"/>
      <c r="AY96" s="53"/>
      <c r="AZ96" s="21">
        <f>SUM(AZ83:AZ95)</f>
        <v>264172516.92999983</v>
      </c>
      <c r="BA96" s="81"/>
      <c r="BB96" s="22">
        <f>SUM(BB83:BB95)</f>
        <v>73629</v>
      </c>
      <c r="BC96" s="81"/>
      <c r="BD96" s="53"/>
      <c r="BE96" s="31"/>
      <c r="BF96" s="53"/>
      <c r="BG96" s="21">
        <f>SUM(BG83:BG95)</f>
        <v>236615652.40999988</v>
      </c>
      <c r="BH96" s="81"/>
      <c r="BI96" s="22">
        <f>SUM(BI83:BI95)</f>
        <v>64537</v>
      </c>
      <c r="BJ96" s="81"/>
      <c r="BK96" s="53"/>
      <c r="BL96" s="31"/>
      <c r="BM96" s="53"/>
      <c r="BN96" s="21">
        <f>SUM(BN83:BN95)</f>
        <v>217109230.7200001</v>
      </c>
      <c r="BO96" s="81"/>
      <c r="BP96" s="22">
        <f>SUM(BP83:BP95)</f>
        <v>58151</v>
      </c>
      <c r="BQ96" s="81"/>
      <c r="BR96" s="53"/>
      <c r="BS96" s="31"/>
      <c r="BT96" s="53"/>
      <c r="BU96" s="21">
        <f>SUM(BU83:BU95)</f>
        <v>232085260.53000006</v>
      </c>
      <c r="BV96" s="81"/>
      <c r="BW96" s="22">
        <f>SUM(BW83:BW95)</f>
        <v>55837</v>
      </c>
      <c r="BX96" s="81"/>
      <c r="BY96" s="53"/>
      <c r="BZ96" s="31"/>
      <c r="CA96" s="53"/>
      <c r="CB96" s="21">
        <f>SUM(CB83:CB95)</f>
        <v>232836553.6800003</v>
      </c>
      <c r="CC96" s="81"/>
      <c r="CD96" s="22">
        <f>SUM(CD83:CD95)</f>
        <v>54858</v>
      </c>
      <c r="CE96" s="81"/>
      <c r="CF96" s="53"/>
      <c r="CG96" s="31"/>
      <c r="CH96" s="53"/>
      <c r="CI96" s="21">
        <f>SUM(CI83:CI95)</f>
        <v>223521056.65000004</v>
      </c>
      <c r="CJ96" s="81"/>
      <c r="CK96" s="22">
        <f>SUM(CK83:CK95)</f>
        <v>47076</v>
      </c>
      <c r="CL96" s="81"/>
      <c r="CM96" s="53"/>
      <c r="CN96" s="31"/>
      <c r="CO96" s="21">
        <f>SUM(CO83:CO95)</f>
        <v>212871306.3799999</v>
      </c>
      <c r="CP96" s="81"/>
      <c r="CQ96" s="22">
        <f>SUM(CQ83:CQ95)</f>
        <v>40257</v>
      </c>
      <c r="CR96" s="81"/>
      <c r="CS96" s="34"/>
      <c r="CT96" s="34"/>
      <c r="CU96" s="21">
        <f>SUM(CU83:CU95)</f>
        <v>240611887.30000028</v>
      </c>
      <c r="CV96" s="81"/>
      <c r="CW96" s="22">
        <f>SUM(CW83:CW95)</f>
        <v>43705</v>
      </c>
      <c r="CX96" s="81"/>
      <c r="CY96" s="34"/>
      <c r="CZ96" s="34"/>
    </row>
    <row r="97" spans="1:104" ht="13.5" thickTop="1">
      <c r="A97" s="8"/>
      <c r="B97" s="8"/>
      <c r="C97" s="8"/>
      <c r="D97" s="9"/>
      <c r="E97" s="8"/>
      <c r="F97" s="10"/>
      <c r="G97" s="8"/>
      <c r="H97" s="8"/>
      <c r="I97" s="9"/>
      <c r="J97" s="8"/>
      <c r="K97" s="10"/>
      <c r="L97" s="8"/>
      <c r="M97" s="54"/>
      <c r="N97" s="55"/>
      <c r="O97" s="54"/>
      <c r="P97" s="9"/>
      <c r="Q97" s="8"/>
      <c r="R97" s="10"/>
      <c r="S97" s="8"/>
      <c r="T97" s="54"/>
      <c r="U97" s="55"/>
      <c r="V97" s="54"/>
      <c r="W97" s="9"/>
      <c r="X97" s="8"/>
      <c r="Y97" s="10"/>
      <c r="Z97" s="14"/>
      <c r="AA97" s="54"/>
      <c r="AB97" s="55"/>
      <c r="AC97" s="54"/>
      <c r="AD97" s="34"/>
      <c r="AE97" s="9"/>
      <c r="AF97" s="14"/>
      <c r="AG97" s="10"/>
      <c r="AH97" s="14"/>
      <c r="AI97" s="54"/>
      <c r="AJ97" s="55"/>
      <c r="AK97" s="54"/>
      <c r="AL97" s="9"/>
      <c r="AM97" s="14"/>
      <c r="AN97" s="10"/>
      <c r="AO97" s="14"/>
      <c r="AP97" s="54"/>
      <c r="AQ97" s="55"/>
      <c r="AR97" s="54"/>
      <c r="AS97" s="9"/>
      <c r="AT97" s="14"/>
      <c r="AU97" s="10"/>
      <c r="AV97" s="14"/>
      <c r="AW97" s="54"/>
      <c r="AX97" s="55"/>
      <c r="AY97" s="54"/>
      <c r="AZ97" s="9"/>
      <c r="BA97" s="14"/>
      <c r="BB97" s="10"/>
      <c r="BC97" s="14"/>
      <c r="BD97" s="54"/>
      <c r="BE97" s="55"/>
      <c r="BF97" s="54"/>
      <c r="BG97" s="9"/>
      <c r="BH97" s="14"/>
      <c r="BI97" s="10"/>
      <c r="BJ97" s="14"/>
      <c r="BK97" s="54"/>
      <c r="BL97" s="55"/>
      <c r="BM97" s="54"/>
      <c r="BN97" s="9"/>
      <c r="BO97" s="14"/>
      <c r="BP97" s="10"/>
      <c r="BQ97" s="14"/>
      <c r="BR97" s="54"/>
      <c r="BS97" s="55"/>
      <c r="BT97" s="54"/>
      <c r="BU97" s="9"/>
      <c r="BV97" s="14"/>
      <c r="BW97" s="10"/>
      <c r="BX97" s="14"/>
      <c r="BY97" s="54"/>
      <c r="BZ97" s="55"/>
      <c r="CA97" s="54"/>
      <c r="CB97" s="9"/>
      <c r="CC97" s="14"/>
      <c r="CD97" s="10"/>
      <c r="CE97" s="14"/>
      <c r="CF97" s="54"/>
      <c r="CG97" s="55"/>
      <c r="CH97" s="54"/>
      <c r="CI97" s="9"/>
      <c r="CJ97" s="14"/>
      <c r="CK97" s="10"/>
      <c r="CL97" s="14"/>
      <c r="CM97" s="54"/>
      <c r="CN97" s="55"/>
      <c r="CO97" s="9"/>
      <c r="CP97" s="14"/>
      <c r="CQ97" s="10"/>
      <c r="CR97" s="14"/>
      <c r="CS97" s="34"/>
      <c r="CT97" s="34"/>
      <c r="CU97" s="9"/>
      <c r="CV97" s="14"/>
      <c r="CW97" s="10"/>
      <c r="CX97" s="14"/>
      <c r="CY97" s="34"/>
      <c r="CZ97" s="34"/>
    </row>
    <row r="98" spans="1:104" ht="12.75">
      <c r="A98" s="8"/>
      <c r="B98" s="8"/>
      <c r="C98" s="8"/>
      <c r="D98" s="9"/>
      <c r="E98" s="8"/>
      <c r="F98" s="10"/>
      <c r="G98" s="8"/>
      <c r="H98" s="8"/>
      <c r="I98" s="8"/>
      <c r="J98" s="8"/>
      <c r="K98" s="8"/>
      <c r="L98" s="9"/>
      <c r="M98" s="54"/>
      <c r="N98" s="55"/>
      <c r="O98" s="54"/>
      <c r="P98" s="8"/>
      <c r="Q98" s="8"/>
      <c r="R98" s="8"/>
      <c r="S98" s="9"/>
      <c r="T98" s="54"/>
      <c r="U98" s="55"/>
      <c r="V98" s="54"/>
      <c r="W98" s="8"/>
      <c r="X98" s="8"/>
      <c r="Y98" s="8"/>
      <c r="Z98" s="14"/>
      <c r="AA98" s="54"/>
      <c r="AB98" s="55"/>
      <c r="AC98" s="54"/>
      <c r="AD98" s="34"/>
      <c r="AE98" s="8"/>
      <c r="AF98" s="14"/>
      <c r="AG98" s="8"/>
      <c r="AH98" s="14"/>
      <c r="AI98" s="54"/>
      <c r="AJ98" s="55"/>
      <c r="AK98" s="54"/>
      <c r="AL98" s="8"/>
      <c r="AM98" s="14"/>
      <c r="AN98" s="8"/>
      <c r="AO98" s="14"/>
      <c r="AP98" s="54"/>
      <c r="AQ98" s="55"/>
      <c r="AR98" s="54"/>
      <c r="AS98" s="8"/>
      <c r="AT98" s="14"/>
      <c r="AU98" s="8"/>
      <c r="AV98" s="14"/>
      <c r="AW98" s="54"/>
      <c r="AX98" s="55"/>
      <c r="AY98" s="54"/>
      <c r="AZ98" s="8"/>
      <c r="BA98" s="14"/>
      <c r="BB98" s="8"/>
      <c r="BC98" s="14"/>
      <c r="BD98" s="54"/>
      <c r="BE98" s="55"/>
      <c r="BF98" s="54"/>
      <c r="BG98" s="8"/>
      <c r="BH98" s="14"/>
      <c r="BI98" s="10"/>
      <c r="BJ98" s="14"/>
      <c r="BK98" s="54"/>
      <c r="BL98" s="55"/>
      <c r="BM98" s="54"/>
      <c r="BN98" s="8"/>
      <c r="BO98" s="14"/>
      <c r="BP98" s="10"/>
      <c r="BQ98" s="14"/>
      <c r="BR98" s="54"/>
      <c r="BS98" s="55"/>
      <c r="BT98" s="54"/>
      <c r="BU98" s="8"/>
      <c r="BV98" s="14"/>
      <c r="BW98" s="10"/>
      <c r="BX98" s="14"/>
      <c r="BY98" s="54"/>
      <c r="BZ98" s="55"/>
      <c r="CA98" s="54"/>
      <c r="CB98" s="8"/>
      <c r="CC98" s="14"/>
      <c r="CD98" s="10"/>
      <c r="CE98" s="14"/>
      <c r="CF98" s="54"/>
      <c r="CG98" s="55"/>
      <c r="CH98" s="54"/>
      <c r="CI98" s="8"/>
      <c r="CJ98" s="14"/>
      <c r="CK98" s="10"/>
      <c r="CL98" s="14"/>
      <c r="CM98" s="54"/>
      <c r="CN98" s="55"/>
      <c r="CO98" s="9"/>
      <c r="CP98" s="14"/>
      <c r="CQ98" s="10"/>
      <c r="CR98" s="14"/>
      <c r="CS98" s="34"/>
      <c r="CT98" s="34"/>
      <c r="CU98" s="9"/>
      <c r="CV98" s="14"/>
      <c r="CW98" s="10"/>
      <c r="CX98" s="14"/>
      <c r="CY98" s="34"/>
      <c r="CZ98" s="34"/>
    </row>
    <row r="99" spans="1:104" ht="12.75">
      <c r="A99" s="8"/>
      <c r="B99" s="8"/>
      <c r="C99" s="8"/>
      <c r="D99" s="9"/>
      <c r="E99" s="8"/>
      <c r="F99" s="10"/>
      <c r="G99" s="8"/>
      <c r="H99" s="8"/>
      <c r="I99" s="8"/>
      <c r="J99" s="8"/>
      <c r="K99" s="8"/>
      <c r="L99" s="9"/>
      <c r="M99" s="54"/>
      <c r="N99" s="55"/>
      <c r="O99" s="54"/>
      <c r="P99" s="8"/>
      <c r="Q99" s="8"/>
      <c r="R99" s="8"/>
      <c r="S99" s="9"/>
      <c r="T99" s="54"/>
      <c r="U99" s="55"/>
      <c r="V99" s="54"/>
      <c r="W99" s="8"/>
      <c r="X99" s="8"/>
      <c r="Y99" s="8"/>
      <c r="Z99" s="14"/>
      <c r="AA99" s="54"/>
      <c r="AB99" s="55"/>
      <c r="AC99" s="54"/>
      <c r="AD99" s="34"/>
      <c r="AE99" s="8"/>
      <c r="AF99" s="14"/>
      <c r="AG99" s="8"/>
      <c r="AH99" s="14"/>
      <c r="AI99" s="54"/>
      <c r="AJ99" s="55"/>
      <c r="AK99" s="54"/>
      <c r="AL99" s="8"/>
      <c r="AM99" s="14"/>
      <c r="AN99" s="8"/>
      <c r="AO99" s="14"/>
      <c r="AP99" s="54"/>
      <c r="AQ99" s="55"/>
      <c r="AR99" s="54"/>
      <c r="AS99" s="8"/>
      <c r="AT99" s="14"/>
      <c r="AU99" s="8"/>
      <c r="AV99" s="14"/>
      <c r="AW99" s="54"/>
      <c r="AX99" s="55"/>
      <c r="AY99" s="54"/>
      <c r="AZ99" s="8"/>
      <c r="BA99" s="14"/>
      <c r="BB99" s="8"/>
      <c r="BC99" s="14"/>
      <c r="BD99" s="54"/>
      <c r="BE99" s="55"/>
      <c r="BF99" s="54"/>
      <c r="BG99" s="8"/>
      <c r="BH99" s="14"/>
      <c r="BI99" s="10"/>
      <c r="BJ99" s="14"/>
      <c r="BK99" s="54"/>
      <c r="BL99" s="55"/>
      <c r="BM99" s="54"/>
      <c r="BN99" s="8"/>
      <c r="BO99" s="14"/>
      <c r="BP99" s="10"/>
      <c r="BQ99" s="14"/>
      <c r="BR99" s="54"/>
      <c r="BS99" s="55"/>
      <c r="BT99" s="54"/>
      <c r="BU99" s="8"/>
      <c r="BV99" s="14"/>
      <c r="BW99" s="10"/>
      <c r="BX99" s="14"/>
      <c r="BY99" s="54"/>
      <c r="BZ99" s="55"/>
      <c r="CA99" s="54"/>
      <c r="CB99" s="8"/>
      <c r="CC99" s="14"/>
      <c r="CD99" s="10"/>
      <c r="CE99" s="14"/>
      <c r="CF99" s="54"/>
      <c r="CG99" s="55"/>
      <c r="CH99" s="54"/>
      <c r="CI99" s="8"/>
      <c r="CJ99" s="14"/>
      <c r="CK99" s="10"/>
      <c r="CL99" s="14"/>
      <c r="CM99" s="54"/>
      <c r="CN99" s="55"/>
      <c r="CO99" s="9"/>
      <c r="CP99" s="14"/>
      <c r="CQ99" s="10"/>
      <c r="CR99" s="14"/>
      <c r="CS99" s="34"/>
      <c r="CT99" s="34"/>
      <c r="CU99" s="9"/>
      <c r="CV99" s="14"/>
      <c r="CW99" s="10"/>
      <c r="CX99" s="14"/>
      <c r="CY99" s="34"/>
      <c r="CZ99" s="34"/>
    </row>
    <row r="100" spans="1:104" ht="12.75">
      <c r="A100" s="19" t="s">
        <v>103</v>
      </c>
      <c r="B100" s="8"/>
      <c r="C100" s="8"/>
      <c r="D100" s="9"/>
      <c r="E100" s="8"/>
      <c r="F100" s="10"/>
      <c r="G100" s="8"/>
      <c r="H100" s="8"/>
      <c r="I100" s="19" t="s">
        <v>103</v>
      </c>
      <c r="J100" s="8"/>
      <c r="K100" s="8"/>
      <c r="L100" s="9"/>
      <c r="M100" s="8"/>
      <c r="N100" s="10"/>
      <c r="O100" s="8"/>
      <c r="P100" s="19" t="s">
        <v>103</v>
      </c>
      <c r="Q100" s="8"/>
      <c r="R100" s="8"/>
      <c r="S100" s="9"/>
      <c r="T100" s="8"/>
      <c r="U100" s="10"/>
      <c r="V100" s="8"/>
      <c r="W100" s="19" t="s">
        <v>103</v>
      </c>
      <c r="X100" s="8"/>
      <c r="Y100" s="8"/>
      <c r="Z100" s="14"/>
      <c r="AA100" s="8"/>
      <c r="AB100" s="10"/>
      <c r="AC100" s="8"/>
      <c r="AD100" s="34"/>
      <c r="AE100" s="19" t="s">
        <v>103</v>
      </c>
      <c r="AF100" s="14"/>
      <c r="AG100" s="8"/>
      <c r="AH100" s="14"/>
      <c r="AI100" s="8"/>
      <c r="AJ100" s="10"/>
      <c r="AK100" s="8"/>
      <c r="AL100" s="19" t="s">
        <v>103</v>
      </c>
      <c r="AM100" s="14"/>
      <c r="AN100" s="8"/>
      <c r="AO100" s="14"/>
      <c r="AP100" s="8"/>
      <c r="AQ100" s="10"/>
      <c r="AR100" s="8"/>
      <c r="AS100" s="19" t="s">
        <v>103</v>
      </c>
      <c r="AT100" s="14"/>
      <c r="AU100" s="8"/>
      <c r="AV100" s="14"/>
      <c r="AW100" s="8"/>
      <c r="AX100" s="10"/>
      <c r="AY100" s="8"/>
      <c r="AZ100" s="19" t="s">
        <v>103</v>
      </c>
      <c r="BA100" s="14"/>
      <c r="BB100" s="8"/>
      <c r="BC100" s="14"/>
      <c r="BD100" s="8"/>
      <c r="BE100" s="10"/>
      <c r="BF100" s="8"/>
      <c r="BG100" s="19" t="s">
        <v>103</v>
      </c>
      <c r="BH100" s="14"/>
      <c r="BI100" s="91"/>
      <c r="BJ100" s="14"/>
      <c r="BK100" s="8"/>
      <c r="BL100" s="10"/>
      <c r="BM100" s="8"/>
      <c r="BN100" s="19" t="s">
        <v>103</v>
      </c>
      <c r="BO100" s="14"/>
      <c r="BP100" s="91"/>
      <c r="BQ100" s="14"/>
      <c r="BR100" s="8"/>
      <c r="BS100" s="10"/>
      <c r="BT100" s="8"/>
      <c r="BU100" s="19" t="s">
        <v>103</v>
      </c>
      <c r="BV100" s="14"/>
      <c r="BW100" s="91"/>
      <c r="BX100" s="14"/>
      <c r="BY100" s="8"/>
      <c r="BZ100" s="10"/>
      <c r="CA100" s="8"/>
      <c r="CB100" s="19" t="s">
        <v>103</v>
      </c>
      <c r="CC100" s="14"/>
      <c r="CD100" s="91"/>
      <c r="CE100" s="14"/>
      <c r="CF100" s="8"/>
      <c r="CG100" s="10"/>
      <c r="CH100" s="8"/>
      <c r="CI100" s="19" t="s">
        <v>103</v>
      </c>
      <c r="CJ100" s="14"/>
      <c r="CK100" s="91"/>
      <c r="CL100" s="14"/>
      <c r="CM100" s="8"/>
      <c r="CN100" s="10"/>
      <c r="CO100" s="98" t="s">
        <v>181</v>
      </c>
      <c r="CP100" s="14"/>
      <c r="CQ100" s="91"/>
      <c r="CR100" s="14"/>
      <c r="CS100" s="34"/>
      <c r="CT100" s="34"/>
      <c r="CU100" s="98" t="s">
        <v>181</v>
      </c>
      <c r="CV100" s="14"/>
      <c r="CW100" s="91" t="s">
        <v>181</v>
      </c>
      <c r="CX100" s="14"/>
      <c r="CY100" s="34"/>
      <c r="CZ100" s="34"/>
    </row>
    <row r="101" spans="1:104" ht="12.75">
      <c r="A101" s="8"/>
      <c r="B101" s="8"/>
      <c r="C101" s="8"/>
      <c r="D101" s="9"/>
      <c r="E101" s="8"/>
      <c r="F101" s="10"/>
      <c r="G101" s="8"/>
      <c r="H101" s="8"/>
      <c r="I101" s="8"/>
      <c r="J101" s="8"/>
      <c r="K101" s="8"/>
      <c r="L101" s="9"/>
      <c r="M101" s="8"/>
      <c r="N101" s="10"/>
      <c r="O101" s="8"/>
      <c r="P101" s="8"/>
      <c r="Q101" s="8"/>
      <c r="R101" s="8"/>
      <c r="S101" s="9"/>
      <c r="T101" s="8"/>
      <c r="U101" s="10"/>
      <c r="V101" s="8"/>
      <c r="W101" s="8"/>
      <c r="X101" s="8"/>
      <c r="Y101" s="8"/>
      <c r="Z101" s="14"/>
      <c r="AA101" s="8"/>
      <c r="AB101" s="10"/>
      <c r="AC101" s="8"/>
      <c r="AD101" s="34"/>
      <c r="AE101" s="8"/>
      <c r="AF101" s="14"/>
      <c r="AG101" s="8"/>
      <c r="AH101" s="14"/>
      <c r="AI101" s="8"/>
      <c r="AJ101" s="10"/>
      <c r="AK101" s="8"/>
      <c r="AL101" s="8"/>
      <c r="AM101" s="14"/>
      <c r="AN101" s="8"/>
      <c r="AO101" s="14"/>
      <c r="AP101" s="8"/>
      <c r="AQ101" s="10"/>
      <c r="AR101" s="8"/>
      <c r="AS101" s="8"/>
      <c r="AT101" s="14"/>
      <c r="AU101" s="8"/>
      <c r="AV101" s="14"/>
      <c r="AW101" s="8"/>
      <c r="AX101" s="10"/>
      <c r="AY101" s="8"/>
      <c r="AZ101" s="8"/>
      <c r="BA101" s="14"/>
      <c r="BB101" s="8"/>
      <c r="BC101" s="14"/>
      <c r="BD101" s="8"/>
      <c r="BE101" s="10"/>
      <c r="BF101" s="8"/>
      <c r="BG101" s="8"/>
      <c r="BH101" s="14"/>
      <c r="BI101" s="10"/>
      <c r="BJ101" s="14"/>
      <c r="BK101" s="8"/>
      <c r="BL101" s="10"/>
      <c r="BM101" s="8"/>
      <c r="BN101" s="8"/>
      <c r="BO101" s="14"/>
      <c r="BP101" s="10"/>
      <c r="BQ101" s="14"/>
      <c r="BR101" s="8"/>
      <c r="BS101" s="10"/>
      <c r="BT101" s="8"/>
      <c r="BU101" s="8"/>
      <c r="BV101" s="14"/>
      <c r="BW101" s="10"/>
      <c r="BX101" s="14"/>
      <c r="BY101" s="8"/>
      <c r="BZ101" s="10"/>
      <c r="CA101" s="8"/>
      <c r="CB101" s="8"/>
      <c r="CC101" s="14"/>
      <c r="CD101" s="10"/>
      <c r="CE101" s="14"/>
      <c r="CF101" s="8"/>
      <c r="CG101" s="10"/>
      <c r="CH101" s="8"/>
      <c r="CI101" s="8"/>
      <c r="CJ101" s="14"/>
      <c r="CK101" s="10"/>
      <c r="CL101" s="14"/>
      <c r="CM101" s="8"/>
      <c r="CN101" s="10"/>
      <c r="CO101" s="9"/>
      <c r="CP101" s="14"/>
      <c r="CQ101" s="10"/>
      <c r="CR101" s="14"/>
      <c r="CS101" s="34"/>
      <c r="CT101" s="34"/>
      <c r="CU101" s="9"/>
      <c r="CV101" s="14"/>
      <c r="CW101" s="10"/>
      <c r="CX101" s="14"/>
      <c r="CY101" s="34"/>
      <c r="CZ101" s="34"/>
    </row>
    <row r="102" spans="1:104" s="29" customFormat="1" ht="12.75">
      <c r="A102" s="25"/>
      <c r="B102" s="25"/>
      <c r="C102" s="25"/>
      <c r="D102" s="27" t="s">
        <v>99</v>
      </c>
      <c r="E102" s="26" t="s">
        <v>100</v>
      </c>
      <c r="F102" s="28" t="s">
        <v>101</v>
      </c>
      <c r="G102" s="26" t="s">
        <v>100</v>
      </c>
      <c r="H102" s="26"/>
      <c r="I102" s="27" t="s">
        <v>99</v>
      </c>
      <c r="J102" s="26" t="s">
        <v>100</v>
      </c>
      <c r="K102" s="28" t="s">
        <v>101</v>
      </c>
      <c r="L102" s="26" t="s">
        <v>100</v>
      </c>
      <c r="M102" s="53"/>
      <c r="N102" s="31"/>
      <c r="O102" s="53"/>
      <c r="P102" s="27" t="s">
        <v>99</v>
      </c>
      <c r="Q102" s="26" t="s">
        <v>100</v>
      </c>
      <c r="R102" s="28" t="s">
        <v>101</v>
      </c>
      <c r="S102" s="26" t="s">
        <v>100</v>
      </c>
      <c r="T102" s="53"/>
      <c r="U102" s="31"/>
      <c r="V102" s="53"/>
      <c r="W102" s="27" t="s">
        <v>99</v>
      </c>
      <c r="X102" s="26" t="s">
        <v>100</v>
      </c>
      <c r="Y102" s="28" t="s">
        <v>101</v>
      </c>
      <c r="Z102" s="82">
        <f>+Z81</f>
        <v>0</v>
      </c>
      <c r="AA102" s="53"/>
      <c r="AB102" s="31"/>
      <c r="AC102" s="53"/>
      <c r="AD102" s="25"/>
      <c r="AE102" s="27" t="s">
        <v>99</v>
      </c>
      <c r="AF102" s="82" t="s">
        <v>100</v>
      </c>
      <c r="AG102" s="28" t="s">
        <v>101</v>
      </c>
      <c r="AH102" s="82">
        <f>+AH81</f>
        <v>0</v>
      </c>
      <c r="AI102" s="53"/>
      <c r="AJ102" s="31"/>
      <c r="AK102" s="53"/>
      <c r="AL102" s="27" t="s">
        <v>99</v>
      </c>
      <c r="AM102" s="82" t="s">
        <v>100</v>
      </c>
      <c r="AN102" s="28" t="s">
        <v>101</v>
      </c>
      <c r="AO102" s="82" t="s">
        <v>152</v>
      </c>
      <c r="AP102" s="53"/>
      <c r="AQ102" s="31"/>
      <c r="AR102" s="53"/>
      <c r="AS102" s="27" t="s">
        <v>99</v>
      </c>
      <c r="AT102" s="82" t="s">
        <v>100</v>
      </c>
      <c r="AU102" s="28" t="s">
        <v>101</v>
      </c>
      <c r="AV102" s="82" t="s">
        <v>165</v>
      </c>
      <c r="AW102" s="53"/>
      <c r="AX102" s="31"/>
      <c r="AY102" s="53"/>
      <c r="AZ102" s="89" t="s">
        <v>99</v>
      </c>
      <c r="BA102" s="44" t="s">
        <v>100</v>
      </c>
      <c r="BB102" s="88" t="s">
        <v>101</v>
      </c>
      <c r="BC102" s="94" t="s">
        <v>100</v>
      </c>
      <c r="BD102" s="53"/>
      <c r="BE102" s="31"/>
      <c r="BF102" s="53"/>
      <c r="BG102" s="89" t="s">
        <v>99</v>
      </c>
      <c r="BH102" s="94" t="s">
        <v>100</v>
      </c>
      <c r="BI102" s="88" t="s">
        <v>99</v>
      </c>
      <c r="BJ102" s="94" t="s">
        <v>100</v>
      </c>
      <c r="BK102" s="53"/>
      <c r="BL102" s="31"/>
      <c r="BM102" s="53"/>
      <c r="BN102" s="89" t="s">
        <v>99</v>
      </c>
      <c r="BO102" s="94" t="s">
        <v>100</v>
      </c>
      <c r="BP102" s="88" t="s">
        <v>99</v>
      </c>
      <c r="BQ102" s="94" t="s">
        <v>100</v>
      </c>
      <c r="BR102" s="53"/>
      <c r="BS102" s="31"/>
      <c r="BT102" s="53"/>
      <c r="BU102" s="89" t="s">
        <v>99</v>
      </c>
      <c r="BV102" s="94" t="s">
        <v>100</v>
      </c>
      <c r="BW102" s="88" t="s">
        <v>99</v>
      </c>
      <c r="BX102" s="94" t="s">
        <v>100</v>
      </c>
      <c r="BY102" s="53"/>
      <c r="BZ102" s="31"/>
      <c r="CA102" s="53"/>
      <c r="CB102" s="89" t="s">
        <v>99</v>
      </c>
      <c r="CC102" s="94" t="s">
        <v>100</v>
      </c>
      <c r="CD102" s="88" t="s">
        <v>99</v>
      </c>
      <c r="CE102" s="94" t="s">
        <v>100</v>
      </c>
      <c r="CF102" s="53"/>
      <c r="CG102" s="31"/>
      <c r="CH102" s="53"/>
      <c r="CI102" s="89" t="s">
        <v>99</v>
      </c>
      <c r="CJ102" s="94" t="s">
        <v>100</v>
      </c>
      <c r="CK102" s="88" t="s">
        <v>99</v>
      </c>
      <c r="CL102" s="94" t="s">
        <v>100</v>
      </c>
      <c r="CM102" s="53"/>
      <c r="CN102" s="31"/>
      <c r="CO102" s="89" t="s">
        <v>99</v>
      </c>
      <c r="CP102" s="94" t="s">
        <v>100</v>
      </c>
      <c r="CQ102" s="88" t="s">
        <v>99</v>
      </c>
      <c r="CR102" s="94" t="s">
        <v>100</v>
      </c>
      <c r="CS102" s="25"/>
      <c r="CT102" s="25"/>
      <c r="CU102" s="89" t="s">
        <v>99</v>
      </c>
      <c r="CV102" s="94" t="s">
        <v>100</v>
      </c>
      <c r="CW102" s="88" t="s">
        <v>99</v>
      </c>
      <c r="CX102" s="94" t="s">
        <v>100</v>
      </c>
      <c r="CY102" s="25"/>
      <c r="CZ102" s="25"/>
    </row>
    <row r="103" spans="1:104" ht="12.75">
      <c r="A103" s="8"/>
      <c r="B103" s="8"/>
      <c r="C103" s="8"/>
      <c r="D103" s="9"/>
      <c r="E103" s="8"/>
      <c r="F103" s="10"/>
      <c r="G103" s="8"/>
      <c r="H103" s="8"/>
      <c r="I103" s="9"/>
      <c r="J103" s="8"/>
      <c r="K103" s="10"/>
      <c r="L103" s="8"/>
      <c r="M103" s="54"/>
      <c r="N103" s="55"/>
      <c r="O103" s="54"/>
      <c r="P103" s="9"/>
      <c r="Q103" s="8"/>
      <c r="R103" s="10"/>
      <c r="S103" s="8"/>
      <c r="T103" s="54"/>
      <c r="U103" s="55"/>
      <c r="V103" s="54"/>
      <c r="W103" s="9"/>
      <c r="X103" s="8"/>
      <c r="Y103" s="10"/>
      <c r="Z103" s="14"/>
      <c r="AA103" s="54"/>
      <c r="AB103" s="55"/>
      <c r="AC103" s="54"/>
      <c r="AD103" s="34"/>
      <c r="AE103" s="9"/>
      <c r="AF103" s="14"/>
      <c r="AG103" s="10"/>
      <c r="AH103" s="14"/>
      <c r="AI103" s="54"/>
      <c r="AJ103" s="55"/>
      <c r="AK103" s="54"/>
      <c r="AL103" s="9"/>
      <c r="AM103" s="14"/>
      <c r="AN103" s="10"/>
      <c r="AO103" s="14"/>
      <c r="AP103" s="54"/>
      <c r="AQ103" s="55"/>
      <c r="AR103" s="54"/>
      <c r="AS103" s="9"/>
      <c r="AT103" s="14"/>
      <c r="AU103" s="10"/>
      <c r="AV103" s="14"/>
      <c r="AW103" s="54"/>
      <c r="AX103" s="55"/>
      <c r="AY103" s="54"/>
      <c r="AZ103" s="9"/>
      <c r="BA103" s="14"/>
      <c r="BB103" s="10"/>
      <c r="BC103" s="14"/>
      <c r="BD103" s="54"/>
      <c r="BE103" s="55"/>
      <c r="BF103" s="54"/>
      <c r="BG103" s="9"/>
      <c r="BH103" s="14"/>
      <c r="BI103" s="10"/>
      <c r="BJ103" s="14"/>
      <c r="BK103" s="54"/>
      <c r="BL103" s="55"/>
      <c r="BM103" s="54"/>
      <c r="BN103" s="9"/>
      <c r="BO103" s="14"/>
      <c r="BP103" s="10"/>
      <c r="BQ103" s="14"/>
      <c r="BR103" s="54"/>
      <c r="BS103" s="55"/>
      <c r="BT103" s="54"/>
      <c r="BU103" s="9"/>
      <c r="BV103" s="14"/>
      <c r="BW103" s="10"/>
      <c r="BX103" s="14"/>
      <c r="BY103" s="54"/>
      <c r="BZ103" s="55"/>
      <c r="CA103" s="54"/>
      <c r="CB103" s="9"/>
      <c r="CC103" s="14"/>
      <c r="CD103" s="10"/>
      <c r="CE103" s="14"/>
      <c r="CF103" s="54"/>
      <c r="CG103" s="55"/>
      <c r="CH103" s="54"/>
      <c r="CI103" s="9"/>
      <c r="CJ103" s="14"/>
      <c r="CK103" s="10"/>
      <c r="CL103" s="14"/>
      <c r="CM103" s="54"/>
      <c r="CN103" s="55"/>
      <c r="CO103" s="9"/>
      <c r="CP103" s="14"/>
      <c r="CQ103" s="10"/>
      <c r="CR103" s="14"/>
      <c r="CS103" s="34"/>
      <c r="CT103" s="34"/>
      <c r="CU103" s="9"/>
      <c r="CV103" s="14"/>
      <c r="CW103" s="10"/>
      <c r="CX103" s="14"/>
      <c r="CY103" s="34"/>
      <c r="CZ103" s="34"/>
    </row>
    <row r="104" spans="1:104" ht="12.75">
      <c r="A104" s="24">
        <v>1996</v>
      </c>
      <c r="B104" s="8"/>
      <c r="C104" s="8"/>
      <c r="D104" s="9">
        <f>+'SECURED LOANS'!D119+'RETAIL CREDIT'!D101+'UNSECURED LOANS'!D101+'CAR FINANCE'!D104</f>
        <v>948610.3</v>
      </c>
      <c r="E104" s="14">
        <f aca="true" t="shared" si="110" ref="E104:E109">+D104/$D$114</f>
        <v>0.004654640371742806</v>
      </c>
      <c r="F104" s="10">
        <f>+'SECURED LOANS'!F119+'RETAIL CREDIT'!F101+'UNSECURED LOANS'!F101+'CAR FINANCE'!F104</f>
        <v>476</v>
      </c>
      <c r="G104" s="14">
        <f aca="true" t="shared" si="111" ref="G104:G109">+F104/$F$114</f>
        <v>0.0047142715658116275</v>
      </c>
      <c r="H104" s="14"/>
      <c r="I104" s="9">
        <v>797899.34</v>
      </c>
      <c r="J104" s="14">
        <v>0.0046</v>
      </c>
      <c r="K104" s="10">
        <v>303</v>
      </c>
      <c r="L104" s="14">
        <v>0.0037</v>
      </c>
      <c r="M104" s="56"/>
      <c r="N104" s="55"/>
      <c r="O104" s="56"/>
      <c r="P104" s="9">
        <f>+'SECURED LOANS'!Q119+'RETAIL CREDIT'!Q101+'UNSECURED LOANS'!R101+'CAR FINANCE'!P104</f>
        <v>722458.44</v>
      </c>
      <c r="Q104" s="14">
        <f aca="true" t="shared" si="112" ref="Q104:Q109">+P104/$P$114</f>
        <v>0.0032110292915110746</v>
      </c>
      <c r="R104" s="10">
        <f>+'SECURED LOANS'!S119+'RETAIL CREDIT'!S101+'UNSECURED LOANS'!T101+'CAR FINANCE'!R104</f>
        <v>209</v>
      </c>
      <c r="S104" s="14">
        <f aca="true" t="shared" si="113" ref="S104:S109">+R104/$R$114</f>
        <v>0.002327316459361046</v>
      </c>
      <c r="T104" s="56"/>
      <c r="U104" s="55"/>
      <c r="V104" s="56"/>
      <c r="W104" s="9">
        <f>+'SECURED LOANS'!V119+'RETAIL CREDIT'!X101+'UNSECURED LOANS'!Y101+'CAR FINANCE'!W104</f>
        <v>676254.88</v>
      </c>
      <c r="X104" s="14">
        <f aca="true" t="shared" si="114" ref="X104:X109">+W104/$P$114</f>
        <v>0.0030056735557097334</v>
      </c>
      <c r="Y104" s="10">
        <f>+'SECURED LOANS'!X119+'RETAIL CREDIT'!Z101+'UNSECURED LOANS'!AA101+'CAR FINANCE'!Y104</f>
        <v>179</v>
      </c>
      <c r="Z104" s="14">
        <f aca="true" t="shared" si="115" ref="Z104:Z109">+Y104/$Y$114</f>
        <v>0.002147003790241328</v>
      </c>
      <c r="AA104" s="56"/>
      <c r="AB104" s="55"/>
      <c r="AC104" s="56"/>
      <c r="AD104" s="34"/>
      <c r="AE104" s="9">
        <f>+'SECURED LOANS'!AA119+'RETAIL CREDIT'!AE101+'UNSECURED LOANS'!AF101+'CAR FINANCE'!AD104</f>
        <v>670760.91</v>
      </c>
      <c r="AF104" s="14">
        <f aca="true" t="shared" si="116" ref="AF104:AF110">+AE104/$AE$114</f>
        <v>0.002886590024505886</v>
      </c>
      <c r="AG104" s="10">
        <f>+'SECURED LOANS'!AC119+'RETAIL CREDIT'!AG101+'UNSECURED LOANS'!AH101+'CAR FINANCE'!AF104</f>
        <v>287</v>
      </c>
      <c r="AH104" s="14">
        <f aca="true" t="shared" si="117" ref="AH104:AH110">+AG104/$AG$114</f>
        <v>0.003754087638979725</v>
      </c>
      <c r="AI104" s="56"/>
      <c r="AJ104" s="55"/>
      <c r="AK104" s="56"/>
      <c r="AL104" s="9">
        <f>+'SECURED LOANS'!AF119+'RETAIL CREDIT'!AL101+'UNSECURED LOANS'!AM101+'CAR FINANCE'!AK104</f>
        <v>635743.3</v>
      </c>
      <c r="AM104" s="14">
        <f aca="true" t="shared" si="118" ref="AM104:AM110">+AL104/$AL$114</f>
        <v>0.0027819073704375107</v>
      </c>
      <c r="AN104" s="10">
        <f>+'SECURED LOANS'!AH119+'RETAIL CREDIT'!AN101+'UNSECURED LOANS'!AO101+'CAR FINANCE'!AM104</f>
        <v>161</v>
      </c>
      <c r="AO104" s="14">
        <f aca="true" t="shared" si="119" ref="AO104:AO110">+AN104/$AN$114</f>
        <v>0.002169840563889001</v>
      </c>
      <c r="AP104" s="56"/>
      <c r="AQ104" s="55"/>
      <c r="AR104" s="56"/>
      <c r="AS104" s="9">
        <f>+'SECURED LOANS'!AK119+'RETAIL CREDIT'!AS101+'UNSECURED LOANS'!AT101+'CAR FINANCE'!AR104</f>
        <v>618932.38</v>
      </c>
      <c r="AT104" s="14">
        <f aca="true" t="shared" si="120" ref="AT104:AT110">+AS104/$AS$114</f>
        <v>0.002739225673388714</v>
      </c>
      <c r="AU104" s="10">
        <f>+'SECURED LOANS'!AM119+'RETAIL CREDIT'!AU101+'UNSECURED LOANS'!AV101+'CAR FINANCE'!AT104</f>
        <v>151</v>
      </c>
      <c r="AV104" s="14">
        <f aca="true" t="shared" si="121" ref="AV104:AV110">+AU104/$AU$114</f>
        <v>0.0021436988032198074</v>
      </c>
      <c r="AW104" s="56"/>
      <c r="AX104" s="55"/>
      <c r="AY104" s="56"/>
      <c r="AZ104" s="9">
        <f>+'SECURED LOANS'!AP119+'RETAIL CREDIT'!AZ101+'UNSECURED LOANS'!BA101+'CAR FINANCE'!AY104</f>
        <v>613285.97</v>
      </c>
      <c r="BA104" s="14">
        <f>+AZ104/$AZ$114</f>
        <v>0.002321535855156754</v>
      </c>
      <c r="BB104" s="10">
        <f>+'SECURED LOANS'!AR119+'RETAIL CREDIT'!BB101+'UNSECURED LOANS'!BC101+'CAR FINANCE'!BA104</f>
        <v>151</v>
      </c>
      <c r="BC104" s="14">
        <f aca="true" t="shared" si="122" ref="BC104:BC111">+BB104/$BB$114</f>
        <v>0.002050822366187236</v>
      </c>
      <c r="BD104" s="56"/>
      <c r="BE104" s="55"/>
      <c r="BF104" s="56"/>
      <c r="BG104" s="9">
        <f>+'SECURED LOANS'!AU119+'RETAIL CREDIT'!BG101+'UNSECURED LOANS'!BH101+'CAR FINANCE'!BE104</f>
        <v>596166.02</v>
      </c>
      <c r="BH104" s="14">
        <f aca="true" t="shared" si="123" ref="BH104:BH111">+BG104/$BG$114</f>
        <v>0.002519554450129877</v>
      </c>
      <c r="BI104" s="10">
        <f>+'SECURED LOANS'!AW119+'RETAIL CREDIT'!BI101+'UNSECURED LOANS'!BJ101+'CAR FINANCE'!BG104</f>
        <v>146</v>
      </c>
      <c r="BJ104" s="14">
        <f aca="true" t="shared" si="124" ref="BJ104:BJ111">+BI104/$BI$114</f>
        <v>0.0022622681562514528</v>
      </c>
      <c r="BK104" s="56"/>
      <c r="BL104" s="55"/>
      <c r="BM104" s="56"/>
      <c r="BN104" s="9">
        <f>+'SECURED LOANS'!AZ119+'RETAIL CREDIT'!BN101+'UNSECURED LOANS'!BO101+'CAR FINANCE'!BL104</f>
        <v>590679.32</v>
      </c>
      <c r="BO104" s="14">
        <f aca="true" t="shared" si="125" ref="BO104:BO111">+BN104/$BN$114</f>
        <v>0.0027206550271544326</v>
      </c>
      <c r="BP104" s="10">
        <f>+'SECURED LOANS'!BB119+'RETAIL CREDIT'!BP101+'UNSECURED LOANS'!BQ101+'CAR FINANCE'!BN104</f>
        <v>146</v>
      </c>
      <c r="BQ104" s="14">
        <f aca="true" t="shared" si="126" ref="BQ104:BQ111">+BP104/$BP$114</f>
        <v>0.00251070488899589</v>
      </c>
      <c r="BR104" s="56"/>
      <c r="BS104" s="55"/>
      <c r="BT104" s="56"/>
      <c r="BU104" s="9">
        <f>+'SECURED LOANS'!BE119+'RETAIL CREDIT'!BU101+'UNSECURED LOANS'!BV101+'CAR FINANCE'!BS104</f>
        <v>580328.84</v>
      </c>
      <c r="BV104" s="14">
        <f aca="true" t="shared" si="127" ref="BV104:BV111">+BU104/$BU$114</f>
        <v>0.0025004984748912356</v>
      </c>
      <c r="BW104" s="10">
        <f>+'SECURED LOANS'!BG119+'RETAIL CREDIT'!BW101+'UNSECURED LOANS'!BX101+'CAR FINANCE'!BU104</f>
        <v>143</v>
      </c>
      <c r="BX104" s="14">
        <f aca="true" t="shared" si="128" ref="BX104:BX111">+BW104/$BW$114</f>
        <v>0.002561025843078962</v>
      </c>
      <c r="BY104" s="56"/>
      <c r="BZ104" s="55"/>
      <c r="CA104" s="56"/>
      <c r="CB104" s="9">
        <f>+'SECURED LOANS'!BJ119+'RETAIL CREDIT'!CB101+'UNSECURED LOANS'!CC101+'CAR FINANCE'!BZ104</f>
        <v>562587.68</v>
      </c>
      <c r="CC104" s="14">
        <f aca="true" t="shared" si="129" ref="CC104:CC112">+CB104/$CB$114</f>
        <v>0.0024162343545644257</v>
      </c>
      <c r="CD104" s="10">
        <f>+'SECURED LOANS'!BL119+'RETAIL CREDIT'!CD101+'UNSECURED LOANS'!CE101+'CAR FINANCE'!CB104</f>
        <v>140</v>
      </c>
      <c r="CE104" s="14">
        <f aca="true" t="shared" si="130" ref="CE104:CE112">+CD104/$CD$114</f>
        <v>0.0025520434576543076</v>
      </c>
      <c r="CF104" s="56"/>
      <c r="CG104" s="55"/>
      <c r="CH104" s="56"/>
      <c r="CI104" s="9">
        <f>+'SECURED LOANS'!BO119+'RETAIL CREDIT'!CI101+'UNSECURED LOANS'!CJ101+'CAR FINANCE'!CG104</f>
        <v>551341.31</v>
      </c>
      <c r="CJ104" s="14">
        <f aca="true" t="shared" si="131" ref="CJ104:CJ112">+CI104/$CI$114</f>
        <v>0.002466619110804029</v>
      </c>
      <c r="CK104" s="10">
        <f>+'SECURED LOANS'!BQ119+'RETAIL CREDIT'!CK101+'UNSECURED LOANS'!CL101+'CAR FINANCE'!CI104</f>
        <v>135</v>
      </c>
      <c r="CL104" s="14">
        <f aca="true" t="shared" si="132" ref="CL104:CL112">+CK104/$CK$114</f>
        <v>0.0028677032882997704</v>
      </c>
      <c r="CM104" s="56"/>
      <c r="CN104" s="55"/>
      <c r="CO104" s="9">
        <f>+'SECURED LOANS'!BT119+'RETAIL CREDIT'!CP101+'UNSECURED LOANS'!CQ101+'CAR FINANCE'!CN104</f>
        <v>521447.75</v>
      </c>
      <c r="CP104" s="14">
        <f aca="true" t="shared" si="133" ref="CP104:CP112">+CO104/$CO$114</f>
        <v>0.0024495915342820102</v>
      </c>
      <c r="CQ104" s="10">
        <f>+'SECURED LOANS'!BV119+'RETAIL CREDIT'!CR101+'UNSECURED LOANS'!CS101+'CAR FINANCE'!CP104</f>
        <v>129</v>
      </c>
      <c r="CR104" s="14">
        <f aca="true" t="shared" si="134" ref="CR104:CR112">+CQ104/$CQ$114</f>
        <v>0.0032044116551158803</v>
      </c>
      <c r="CS104" s="34"/>
      <c r="CT104" s="34"/>
      <c r="CU104" s="100">
        <f>+'SECURED LOANS'!BY119+'RETAIL CREDIT'!CW101+'UNSECURED LOANS'!CX101+'CAR FINANCE'!CU104</f>
        <v>518093.43</v>
      </c>
      <c r="CV104" s="14">
        <f aca="true" t="shared" si="135" ref="CV104:CV112">+CU104/$CU$114</f>
        <v>0.0021532328922470477</v>
      </c>
      <c r="CW104" s="10">
        <f>+'SECURED LOANS'!CA119+'RETAIL CREDIT'!CY101+'UNSECURED LOANS'!CZ101+'CAR FINANCE'!CW104</f>
        <v>128</v>
      </c>
      <c r="CX104" s="14">
        <f aca="true" t="shared" si="136" ref="CX104:CX112">+CW104/$CW$114</f>
        <v>0.002928726690310033</v>
      </c>
      <c r="CY104" s="34"/>
      <c r="CZ104" s="34"/>
    </row>
    <row r="105" spans="1:104" ht="12.75">
      <c r="A105" s="24">
        <v>1997</v>
      </c>
      <c r="B105" s="8"/>
      <c r="C105" s="8"/>
      <c r="D105" s="9">
        <f>+'SECURED LOANS'!D120+'RETAIL CREDIT'!D102+'UNSECURED LOANS'!D102+'CAR FINANCE'!D105</f>
        <v>7449782.65000001</v>
      </c>
      <c r="E105" s="14">
        <f t="shared" si="110"/>
        <v>0.03655458841570574</v>
      </c>
      <c r="F105" s="10">
        <f>+'SECURED LOANS'!F120+'RETAIL CREDIT'!F102+'UNSECURED LOANS'!F102+'CAR FINANCE'!F105</f>
        <v>2968</v>
      </c>
      <c r="G105" s="14">
        <f t="shared" si="111"/>
        <v>0.029394869763296028</v>
      </c>
      <c r="H105" s="14"/>
      <c r="I105" s="9">
        <v>6561336.98</v>
      </c>
      <c r="J105" s="14">
        <v>0.0376</v>
      </c>
      <c r="K105" s="10">
        <v>2262</v>
      </c>
      <c r="L105" s="14">
        <v>0.0278</v>
      </c>
      <c r="M105" s="56"/>
      <c r="N105" s="55"/>
      <c r="O105" s="56"/>
      <c r="P105" s="9">
        <f>+'SECURED LOANS'!Q120+'RETAIL CREDIT'!Q102+'UNSECURED LOANS'!R102+'CAR FINANCE'!P105</f>
        <v>5730241.280000016</v>
      </c>
      <c r="Q105" s="14">
        <f t="shared" si="112"/>
        <v>0.025468555115095572</v>
      </c>
      <c r="R105" s="10">
        <f>+'SECURED LOANS'!S120+'RETAIL CREDIT'!S102+'UNSECURED LOANS'!T102+'CAR FINANCE'!R105</f>
        <v>2018</v>
      </c>
      <c r="S105" s="14">
        <f t="shared" si="113"/>
        <v>0.022471409641103304</v>
      </c>
      <c r="T105" s="56"/>
      <c r="U105" s="55"/>
      <c r="V105" s="56"/>
      <c r="W105" s="9">
        <f>+'SECURED LOANS'!V120+'RETAIL CREDIT'!X102+'UNSECURED LOANS'!Y102+'CAR FINANCE'!W105</f>
        <v>5072025.01</v>
      </c>
      <c r="X105" s="14">
        <f t="shared" si="114"/>
        <v>0.022543055728419137</v>
      </c>
      <c r="Y105" s="10">
        <f>+'SECURED LOANS'!X120+'RETAIL CREDIT'!Z102+'UNSECURED LOANS'!AA102+'CAR FINANCE'!Y105</f>
        <v>1830</v>
      </c>
      <c r="Z105" s="14">
        <f t="shared" si="115"/>
        <v>0.02194981528570743</v>
      </c>
      <c r="AA105" s="56"/>
      <c r="AB105" s="55"/>
      <c r="AC105" s="56"/>
      <c r="AD105" s="34"/>
      <c r="AE105" s="9">
        <f>+'SECURED LOANS'!AA120+'RETAIL CREDIT'!AE102+'UNSECURED LOANS'!AF102+'CAR FINANCE'!AD105</f>
        <v>4481037.04</v>
      </c>
      <c r="AF105" s="14">
        <f t="shared" si="116"/>
        <v>0.019283945480820255</v>
      </c>
      <c r="AG105" s="10">
        <f>+'SECURED LOANS'!AC120+'RETAIL CREDIT'!AG102+'UNSECURED LOANS'!AH102+'CAR FINANCE'!AF105</f>
        <v>1608</v>
      </c>
      <c r="AH105" s="14">
        <f t="shared" si="117"/>
        <v>0.021033355134074557</v>
      </c>
      <c r="AI105" s="56"/>
      <c r="AJ105" s="55"/>
      <c r="AK105" s="56"/>
      <c r="AL105" s="9">
        <f>+'SECURED LOANS'!AF120+'RETAIL CREDIT'!AL102+'UNSECURED LOANS'!AM102+'CAR FINANCE'!AK105</f>
        <v>4056403.88</v>
      </c>
      <c r="AM105" s="14">
        <f t="shared" si="118"/>
        <v>0.017750151438864263</v>
      </c>
      <c r="AN105" s="10">
        <f>+'SECURED LOANS'!AH120+'RETAIL CREDIT'!AN102+'UNSECURED LOANS'!AO102+'CAR FINANCE'!AM105</f>
        <v>1314</v>
      </c>
      <c r="AO105" s="14">
        <f t="shared" si="119"/>
        <v>0.01770913354627421</v>
      </c>
      <c r="AP105" s="56"/>
      <c r="AQ105" s="55"/>
      <c r="AR105" s="56"/>
      <c r="AS105" s="9">
        <f>+'SECURED LOANS'!AK120+'RETAIL CREDIT'!AS102+'UNSECURED LOANS'!AT102+'CAR FINANCE'!AR105</f>
        <v>3817114.6599999997</v>
      </c>
      <c r="AT105" s="14">
        <f t="shared" si="120"/>
        <v>0.016893506969114187</v>
      </c>
      <c r="AU105" s="10">
        <f>+'SECURED LOANS'!AM120+'RETAIL CREDIT'!AU102+'UNSECURED LOANS'!AV102+'CAR FINANCE'!AT105</f>
        <v>1040</v>
      </c>
      <c r="AV105" s="14">
        <f t="shared" si="121"/>
        <v>0.014764548048666223</v>
      </c>
      <c r="AW105" s="56"/>
      <c r="AX105" s="55"/>
      <c r="AY105" s="56"/>
      <c r="AZ105" s="9">
        <f>+'SECURED LOANS'!AP120+'RETAIL CREDIT'!AZ102+'UNSECURED LOANS'!BA102+'CAR FINANCE'!AY105</f>
        <v>3668630.17</v>
      </c>
      <c r="BA105" s="14">
        <f aca="true" t="shared" si="137" ref="BA105:BA111">+AZ105/$AZ$114</f>
        <v>0.013887251454594367</v>
      </c>
      <c r="BB105" s="10">
        <f>+'SECURED LOANS'!AR120+'RETAIL CREDIT'!BB102+'UNSECURED LOANS'!BC102+'CAR FINANCE'!BA105</f>
        <v>918</v>
      </c>
      <c r="BC105" s="14">
        <f t="shared" si="122"/>
        <v>0.012467913458012467</v>
      </c>
      <c r="BD105" s="56"/>
      <c r="BE105" s="55"/>
      <c r="BF105" s="56"/>
      <c r="BG105" s="9">
        <f>+'SECURED LOANS'!AU120+'RETAIL CREDIT'!BG102+'UNSECURED LOANS'!BH102+'CAR FINANCE'!BE105</f>
        <v>3546429.76</v>
      </c>
      <c r="BH105" s="14">
        <f t="shared" si="123"/>
        <v>0.014988145221495568</v>
      </c>
      <c r="BI105" s="10">
        <f>+'SECURED LOANS'!AW120+'RETAIL CREDIT'!BI102+'UNSECURED LOANS'!BJ102+'CAR FINANCE'!BG105</f>
        <v>857</v>
      </c>
      <c r="BJ105" s="14">
        <f t="shared" si="124"/>
        <v>0.013279204177448595</v>
      </c>
      <c r="BK105" s="56"/>
      <c r="BL105" s="55"/>
      <c r="BM105" s="56"/>
      <c r="BN105" s="9">
        <f>+'SECURED LOANS'!AZ120+'RETAIL CREDIT'!BN102+'UNSECURED LOANS'!BO102+'CAR FINANCE'!BL105</f>
        <v>3459503.62</v>
      </c>
      <c r="BO105" s="14">
        <f t="shared" si="125"/>
        <v>0.015934392142274354</v>
      </c>
      <c r="BP105" s="10">
        <f>+'SECURED LOANS'!BB120+'RETAIL CREDIT'!BP102+'UNSECURED LOANS'!BQ102+'CAR FINANCE'!BN105</f>
        <v>823</v>
      </c>
      <c r="BQ105" s="14">
        <f t="shared" si="126"/>
        <v>0.014152809066052175</v>
      </c>
      <c r="BR105" s="56"/>
      <c r="BS105" s="55"/>
      <c r="BT105" s="56"/>
      <c r="BU105" s="9">
        <f>+'SECURED LOANS'!BE120+'RETAIL CREDIT'!BU102+'UNSECURED LOANS'!BV102+'CAR FINANCE'!BS105</f>
        <v>3333472.44</v>
      </c>
      <c r="BV105" s="14">
        <f t="shared" si="127"/>
        <v>0.014363137203920394</v>
      </c>
      <c r="BW105" s="10">
        <f>+'SECURED LOANS'!BG120+'RETAIL CREDIT'!BW102+'UNSECURED LOANS'!BX102+'CAR FINANCE'!BU105</f>
        <v>794</v>
      </c>
      <c r="BX105" s="14">
        <f t="shared" si="128"/>
        <v>0.014219961674158711</v>
      </c>
      <c r="BY105" s="56"/>
      <c r="BZ105" s="55"/>
      <c r="CA105" s="56"/>
      <c r="CB105" s="9">
        <f>+'SECURED LOANS'!BJ120+'RETAIL CREDIT'!CB102+'UNSECURED LOANS'!CC102+'CAR FINANCE'!BZ105</f>
        <v>3237893.77</v>
      </c>
      <c r="CC105" s="14">
        <f t="shared" si="129"/>
        <v>0.013906294861458971</v>
      </c>
      <c r="CD105" s="10">
        <f>+'SECURED LOANS'!BL120+'RETAIL CREDIT'!CD102+'UNSECURED LOANS'!CE102+'CAR FINANCE'!CB105</f>
        <v>766</v>
      </c>
      <c r="CE105" s="14">
        <f t="shared" si="130"/>
        <v>0.01396332348973714</v>
      </c>
      <c r="CF105" s="56"/>
      <c r="CG105" s="55"/>
      <c r="CH105" s="56"/>
      <c r="CI105" s="9">
        <f>+'SECURED LOANS'!BO120+'RETAIL CREDIT'!CI102+'UNSECURED LOANS'!CJ102+'CAR FINANCE'!CG105</f>
        <v>3139238.87</v>
      </c>
      <c r="CJ105" s="14">
        <f t="shared" si="131"/>
        <v>0.014044488322706753</v>
      </c>
      <c r="CK105" s="10">
        <f>+'SECURED LOANS'!BQ120+'RETAIL CREDIT'!CK102+'UNSECURED LOANS'!CL102+'CAR FINANCE'!CI105</f>
        <v>748</v>
      </c>
      <c r="CL105" s="14">
        <f t="shared" si="132"/>
        <v>0.015889200441838728</v>
      </c>
      <c r="CM105" s="56"/>
      <c r="CN105" s="55"/>
      <c r="CO105" s="9">
        <f>+'SECURED LOANS'!BT120+'RETAIL CREDIT'!CP102+'UNSECURED LOANS'!CQ102+'CAR FINANCE'!CN105</f>
        <v>3038036.64</v>
      </c>
      <c r="CP105" s="14">
        <f t="shared" si="133"/>
        <v>0.014271705715831669</v>
      </c>
      <c r="CQ105" s="10">
        <f>+'SECURED LOANS'!BV120+'RETAIL CREDIT'!CR102+'UNSECURED LOANS'!CS102+'CAR FINANCE'!CP105</f>
        <v>720</v>
      </c>
      <c r="CR105" s="14">
        <f t="shared" si="134"/>
        <v>0.017885088307623517</v>
      </c>
      <c r="CS105" s="34"/>
      <c r="CT105" s="34"/>
      <c r="CU105" s="100">
        <f>+'SECURED LOANS'!BY120+'RETAIL CREDIT'!CW102+'UNSECURED LOANS'!CX102+'CAR FINANCE'!CU105</f>
        <v>2987180.19</v>
      </c>
      <c r="CV105" s="14">
        <f t="shared" si="135"/>
        <v>0.012414931878554771</v>
      </c>
      <c r="CW105" s="10">
        <f>+'SECURED LOANS'!CA120+'RETAIL CREDIT'!CY102+'UNSECURED LOANS'!CZ102+'CAR FINANCE'!CW105</f>
        <v>705</v>
      </c>
      <c r="CX105" s="14">
        <f t="shared" si="136"/>
        <v>0.01613087747397323</v>
      </c>
      <c r="CY105" s="34"/>
      <c r="CZ105" s="34"/>
    </row>
    <row r="106" spans="1:104" ht="12.75">
      <c r="A106" s="24">
        <v>1998</v>
      </c>
      <c r="B106" s="8"/>
      <c r="C106" s="8"/>
      <c r="D106" s="9">
        <f>+'SECURED LOANS'!D121+'RETAIL CREDIT'!D103+'UNSECURED LOANS'!D103+'CAR FINANCE'!D106</f>
        <v>22342292.22000002</v>
      </c>
      <c r="E106" s="14">
        <f t="shared" si="110"/>
        <v>0.10962914419597519</v>
      </c>
      <c r="F106" s="10">
        <f>+'SECURED LOANS'!F121+'RETAIL CREDIT'!F103+'UNSECURED LOANS'!F103+'CAR FINANCE'!F106</f>
        <v>8477</v>
      </c>
      <c r="G106" s="14">
        <f t="shared" si="111"/>
        <v>0.08395563038526295</v>
      </c>
      <c r="H106" s="14"/>
      <c r="I106" s="9">
        <v>19953569.74</v>
      </c>
      <c r="J106" s="14">
        <v>0.1142</v>
      </c>
      <c r="K106" s="10">
        <v>6807</v>
      </c>
      <c r="L106" s="14">
        <v>0.0836</v>
      </c>
      <c r="M106" s="56"/>
      <c r="N106" s="55"/>
      <c r="O106" s="56"/>
      <c r="P106" s="9">
        <f>+'SECURED LOANS'!Q121+'RETAIL CREDIT'!Q103+'UNSECURED LOANS'!R103+'CAR FINANCE'!P106</f>
        <v>17697033.95000003</v>
      </c>
      <c r="Q106" s="14">
        <f t="shared" si="112"/>
        <v>0.07865600460881325</v>
      </c>
      <c r="R106" s="10">
        <f>+'SECURED LOANS'!S121+'RETAIL CREDIT'!S103+'UNSECURED LOANS'!T103+'CAR FINANCE'!R106</f>
        <v>5780</v>
      </c>
      <c r="S106" s="14">
        <f t="shared" si="113"/>
        <v>0.06436310590960213</v>
      </c>
      <c r="T106" s="56"/>
      <c r="U106" s="55"/>
      <c r="V106" s="56"/>
      <c r="W106" s="9">
        <f>+'SECURED LOANS'!V121+'RETAIL CREDIT'!X103+'UNSECURED LOANS'!Y103+'CAR FINANCE'!W106</f>
        <v>15975765.669999987</v>
      </c>
      <c r="X106" s="14">
        <f t="shared" si="114"/>
        <v>0.07100567822377023</v>
      </c>
      <c r="Y106" s="10">
        <f>+'SECURED LOANS'!X121+'RETAIL CREDIT'!Z103+'UNSECURED LOANS'!AA103+'CAR FINANCE'!Y106</f>
        <v>4750</v>
      </c>
      <c r="Z106" s="14">
        <f t="shared" si="115"/>
        <v>0.05697356426618049</v>
      </c>
      <c r="AA106" s="56"/>
      <c r="AB106" s="55"/>
      <c r="AC106" s="56"/>
      <c r="AD106" s="34"/>
      <c r="AE106" s="9">
        <f>+'SECURED LOANS'!AA121+'RETAIL CREDIT'!AE103+'UNSECURED LOANS'!AF103+'CAR FINANCE'!AD106</f>
        <v>14282054.030000044</v>
      </c>
      <c r="AF106" s="14">
        <f t="shared" si="116"/>
        <v>0.06146219029438107</v>
      </c>
      <c r="AG106" s="10">
        <f>+'SECURED LOANS'!AC121+'RETAIL CREDIT'!AG103+'UNSECURED LOANS'!AH103+'CAR FINANCE'!AF106</f>
        <v>4205</v>
      </c>
      <c r="AH106" s="14">
        <f t="shared" si="117"/>
        <v>0.05500327011118378</v>
      </c>
      <c r="AI106" s="56"/>
      <c r="AJ106" s="55"/>
      <c r="AK106" s="56"/>
      <c r="AL106" s="9">
        <f>+'SECURED LOANS'!AF121+'RETAIL CREDIT'!AL103+'UNSECURED LOANS'!AM103+'CAR FINANCE'!AK106</f>
        <v>12791195.690000026</v>
      </c>
      <c r="AM106" s="14">
        <f t="shared" si="118"/>
        <v>0.05597215348823903</v>
      </c>
      <c r="AN106" s="10">
        <f>+'SECURED LOANS'!AH121+'RETAIL CREDIT'!AN103+'UNSECURED LOANS'!AO103+'CAR FINANCE'!AM106</f>
        <v>3790</v>
      </c>
      <c r="AO106" s="14">
        <f t="shared" si="119"/>
        <v>0.05107885551018208</v>
      </c>
      <c r="AP106" s="56"/>
      <c r="AQ106" s="55"/>
      <c r="AR106" s="56"/>
      <c r="AS106" s="9">
        <f>+'SECURED LOANS'!AK121+'RETAIL CREDIT'!AS103+'UNSECURED LOANS'!AT103+'CAR FINANCE'!AR106</f>
        <v>11561616.010000018</v>
      </c>
      <c r="AT106" s="14">
        <f t="shared" si="120"/>
        <v>0.05116855479503922</v>
      </c>
      <c r="AU106" s="10">
        <f>+'SECURED LOANS'!AM121+'RETAIL CREDIT'!AU103+'UNSECURED LOANS'!AV103+'CAR FINANCE'!AT106</f>
        <v>3377</v>
      </c>
      <c r="AV106" s="14">
        <f t="shared" si="121"/>
        <v>0.047942191115717146</v>
      </c>
      <c r="AW106" s="56"/>
      <c r="AX106" s="55"/>
      <c r="AY106" s="56"/>
      <c r="AZ106" s="9">
        <f>+'SECURED LOANS'!AP121+'RETAIL CREDIT'!AZ103+'UNSECURED LOANS'!BA103+'CAR FINANCE'!AY106</f>
        <v>10510170.120000014</v>
      </c>
      <c r="BA106" s="14">
        <f t="shared" si="137"/>
        <v>0.03978525185791744</v>
      </c>
      <c r="BB106" s="10">
        <f>+'SECURED LOANS'!AR121+'RETAIL CREDIT'!BB103+'UNSECURED LOANS'!BC103+'CAR FINANCE'!BA106</f>
        <v>2940</v>
      </c>
      <c r="BC106" s="14">
        <f t="shared" si="122"/>
        <v>0.039929918917817706</v>
      </c>
      <c r="BD106" s="56"/>
      <c r="BE106" s="55"/>
      <c r="BF106" s="56"/>
      <c r="BG106" s="9">
        <f>+'SECURED LOANS'!AU121+'RETAIL CREDIT'!BG103+'UNSECURED LOANS'!BH103+'CAR FINANCE'!BE106</f>
        <v>9554668.189999985</v>
      </c>
      <c r="BH106" s="14">
        <f t="shared" si="123"/>
        <v>0.04038054157737611</v>
      </c>
      <c r="BI106" s="10">
        <f>+'SECURED LOANS'!AW121+'RETAIL CREDIT'!BI103+'UNSECURED LOANS'!BJ103+'CAR FINANCE'!BG106</f>
        <v>2537</v>
      </c>
      <c r="BJ106" s="14">
        <f t="shared" si="124"/>
        <v>0.039310782961711886</v>
      </c>
      <c r="BK106" s="56"/>
      <c r="BL106" s="55"/>
      <c r="BM106" s="56"/>
      <c r="BN106" s="9">
        <f>+'SECURED LOANS'!AZ121+'RETAIL CREDIT'!BN103+'UNSECURED LOANS'!BO103+'CAR FINANCE'!BL106</f>
        <v>8785865.120000022</v>
      </c>
      <c r="BO106" s="14">
        <f t="shared" si="125"/>
        <v>0.04046748768287477</v>
      </c>
      <c r="BP106" s="10">
        <f>+'SECURED LOANS'!BB121+'RETAIL CREDIT'!BP103+'UNSECURED LOANS'!BQ103+'CAR FINANCE'!BN106</f>
        <v>2176</v>
      </c>
      <c r="BQ106" s="14">
        <f t="shared" si="126"/>
        <v>0.037419820811336005</v>
      </c>
      <c r="BR106" s="56"/>
      <c r="BS106" s="55"/>
      <c r="BT106" s="56"/>
      <c r="BU106" s="9">
        <f>+'SECURED LOANS'!BE121+'RETAIL CREDIT'!BU103+'UNSECURED LOANS'!BV103+'CAR FINANCE'!BS106</f>
        <v>8202883.8300000075</v>
      </c>
      <c r="BV106" s="14">
        <f t="shared" si="127"/>
        <v>0.03534426878840796</v>
      </c>
      <c r="BW106" s="10">
        <f>+'SECURED LOANS'!BG121+'RETAIL CREDIT'!BW103+'UNSECURED LOANS'!BX103+'CAR FINANCE'!BU106</f>
        <v>1905</v>
      </c>
      <c r="BX106" s="14">
        <f t="shared" si="128"/>
        <v>0.03411716245500296</v>
      </c>
      <c r="BY106" s="56"/>
      <c r="BZ106" s="55"/>
      <c r="CA106" s="56"/>
      <c r="CB106" s="9">
        <f>+'SECURED LOANS'!BJ121+'RETAIL CREDIT'!CB103+'UNSECURED LOANS'!CC103+'CAR FINANCE'!BZ106</f>
        <v>7801906.930000011</v>
      </c>
      <c r="CC106" s="14">
        <f t="shared" si="129"/>
        <v>0.0335080845627126</v>
      </c>
      <c r="CD106" s="10">
        <f>+'SECURED LOANS'!BL121+'RETAIL CREDIT'!CD103+'UNSECURED LOANS'!CE103+'CAR FINANCE'!CB106</f>
        <v>1781</v>
      </c>
      <c r="CE106" s="14">
        <f t="shared" si="130"/>
        <v>0.032465638557730866</v>
      </c>
      <c r="CF106" s="56"/>
      <c r="CG106" s="55"/>
      <c r="CH106" s="56"/>
      <c r="CI106" s="9">
        <f>+'SECURED LOANS'!BO121+'RETAIL CREDIT'!CI103+'UNSECURED LOANS'!CJ103+'CAR FINANCE'!CG106</f>
        <v>7393813.800000013</v>
      </c>
      <c r="CJ106" s="14">
        <f t="shared" si="131"/>
        <v>0.03307882447772068</v>
      </c>
      <c r="CK106" s="10">
        <f>+'SECURED LOANS'!BQ121+'RETAIL CREDIT'!CK103+'UNSECURED LOANS'!CL103+'CAR FINANCE'!CI106</f>
        <v>1709</v>
      </c>
      <c r="CL106" s="14">
        <f t="shared" si="132"/>
        <v>0.0363029994052171</v>
      </c>
      <c r="CM106" s="56"/>
      <c r="CN106" s="55"/>
      <c r="CO106" s="9">
        <f>+'SECURED LOANS'!BT121+'RETAIL CREDIT'!CP103+'UNSECURED LOANS'!CQ103+'CAR FINANCE'!CN106</f>
        <v>7032720.330000003</v>
      </c>
      <c r="CP106" s="14">
        <f t="shared" si="133"/>
        <v>0.033037427399659876</v>
      </c>
      <c r="CQ106" s="10">
        <f>+'SECURED LOANS'!BV121+'RETAIL CREDIT'!CR103+'UNSECURED LOANS'!CS103+'CAR FINANCE'!CP106</f>
        <v>1647</v>
      </c>
      <c r="CR106" s="14">
        <f t="shared" si="134"/>
        <v>0.0409121395036888</v>
      </c>
      <c r="CS106" s="34"/>
      <c r="CT106" s="34"/>
      <c r="CU106" s="100">
        <f>+'SECURED LOANS'!BY121+'RETAIL CREDIT'!CW103+'UNSECURED LOANS'!CX103+'CAR FINANCE'!CU106</f>
        <v>6679280.490000012</v>
      </c>
      <c r="CV106" s="14">
        <f t="shared" si="135"/>
        <v>0.027759561528529715</v>
      </c>
      <c r="CW106" s="10">
        <f>+'SECURED LOANS'!CA121+'RETAIL CREDIT'!CY103+'UNSECURED LOANS'!CZ103+'CAR FINANCE'!CW106</f>
        <v>1563</v>
      </c>
      <c r="CX106" s="14">
        <f t="shared" si="136"/>
        <v>0.03576249856995767</v>
      </c>
      <c r="CY106" s="34"/>
      <c r="CZ106" s="34"/>
    </row>
    <row r="107" spans="1:104" ht="12.75">
      <c r="A107" s="24">
        <v>1999</v>
      </c>
      <c r="B107" s="8"/>
      <c r="C107" s="8"/>
      <c r="D107" s="9">
        <f>+'SECURED LOANS'!D122+'RETAIL CREDIT'!D104+'UNSECURED LOANS'!D104+'CAR FINANCE'!D107</f>
        <v>46574517.630000085</v>
      </c>
      <c r="E107" s="14">
        <f t="shared" si="110"/>
        <v>0.22853181127702854</v>
      </c>
      <c r="F107" s="10">
        <f>+'SECURED LOANS'!F122+'RETAIL CREDIT'!F104+'UNSECURED LOANS'!F104+'CAR FINANCE'!F107</f>
        <v>20045</v>
      </c>
      <c r="G107" s="14">
        <f t="shared" si="111"/>
        <v>0.19852431415271862</v>
      </c>
      <c r="H107" s="14"/>
      <c r="I107" s="9">
        <v>41386934.79</v>
      </c>
      <c r="J107" s="14">
        <v>0.2369</v>
      </c>
      <c r="K107" s="10">
        <v>16602</v>
      </c>
      <c r="L107" s="14">
        <v>0.2038</v>
      </c>
      <c r="M107" s="56"/>
      <c r="N107" s="55"/>
      <c r="O107" s="56"/>
      <c r="P107" s="9">
        <f>+'SECURED LOANS'!Q122+'RETAIL CREDIT'!Q104+'UNSECURED LOANS'!R104+'CAR FINANCE'!P107</f>
        <v>36510795.36</v>
      </c>
      <c r="Q107" s="14">
        <f t="shared" si="112"/>
        <v>0.16227540141593008</v>
      </c>
      <c r="R107" s="10">
        <f>+'SECURED LOANS'!S122+'RETAIL CREDIT'!S104+'UNSECURED LOANS'!T104+'CAR FINANCE'!R107</f>
        <v>13982</v>
      </c>
      <c r="S107" s="14">
        <f t="shared" si="113"/>
        <v>0.1556963575827088</v>
      </c>
      <c r="T107" s="56"/>
      <c r="U107" s="55"/>
      <c r="V107" s="56"/>
      <c r="W107" s="9">
        <f>+'SECURED LOANS'!V122+'RETAIL CREDIT'!X104+'UNSECURED LOANS'!Y104+'CAR FINANCE'!W107</f>
        <v>32594154.65999993</v>
      </c>
      <c r="X107" s="14">
        <f t="shared" si="114"/>
        <v>0.1448675516134907</v>
      </c>
      <c r="Y107" s="10">
        <f>+'SECURED LOANS'!X122+'RETAIL CREDIT'!Z104+'UNSECURED LOANS'!AA104+'CAR FINANCE'!Y107</f>
        <v>12149</v>
      </c>
      <c r="Z107" s="14">
        <f t="shared" si="115"/>
        <v>0.14572038574101617</v>
      </c>
      <c r="AA107" s="56"/>
      <c r="AB107" s="55"/>
      <c r="AC107" s="56"/>
      <c r="AD107" s="34"/>
      <c r="AE107" s="9">
        <f>+'SECURED LOANS'!AA122+'RETAIL CREDIT'!AE104+'UNSECURED LOANS'!AF104+'CAR FINANCE'!AD107</f>
        <v>28723526.190000005</v>
      </c>
      <c r="AF107" s="14">
        <f t="shared" si="116"/>
        <v>0.12361042948774037</v>
      </c>
      <c r="AG107" s="10">
        <f>+'SECURED LOANS'!AC122+'RETAIL CREDIT'!AG104+'UNSECURED LOANS'!AH104+'CAR FINANCE'!AF107</f>
        <v>10578</v>
      </c>
      <c r="AH107" s="14">
        <f t="shared" si="117"/>
        <v>0.13836494440810987</v>
      </c>
      <c r="AI107" s="56"/>
      <c r="AJ107" s="55"/>
      <c r="AK107" s="56"/>
      <c r="AL107" s="9">
        <f>+'SECURED LOANS'!AF122+'RETAIL CREDIT'!AL104+'UNSECURED LOANS'!AM104+'CAR FINANCE'!AK107</f>
        <v>25590025.259999964</v>
      </c>
      <c r="AM107" s="14">
        <f t="shared" si="118"/>
        <v>0.11197771157081164</v>
      </c>
      <c r="AN107" s="10">
        <f>+'SECURED LOANS'!AH122+'RETAIL CREDIT'!AN104+'UNSECURED LOANS'!AO104+'CAR FINANCE'!AM107</f>
        <v>9529</v>
      </c>
      <c r="AO107" s="14">
        <f t="shared" si="119"/>
        <v>0.12842491138694592</v>
      </c>
      <c r="AP107" s="56"/>
      <c r="AQ107" s="55"/>
      <c r="AR107" s="56"/>
      <c r="AS107" s="9">
        <f>+'SECURED LOANS'!AK122+'RETAIL CREDIT'!AS104+'UNSECURED LOANS'!AT104+'CAR FINANCE'!AR107</f>
        <v>22578111.84000001</v>
      </c>
      <c r="AT107" s="14">
        <f t="shared" si="120"/>
        <v>0.09992455655457826</v>
      </c>
      <c r="AU107" s="10">
        <f>+'SECURED LOANS'!AM122+'RETAIL CREDIT'!AU104+'UNSECURED LOANS'!AV104+'CAR FINANCE'!AT107</f>
        <v>7568</v>
      </c>
      <c r="AV107" s="14">
        <f t="shared" si="121"/>
        <v>0.10744048041567882</v>
      </c>
      <c r="AW107" s="56"/>
      <c r="AX107" s="55"/>
      <c r="AY107" s="56"/>
      <c r="AZ107" s="9">
        <f>+'SECURED LOANS'!AP122+'RETAIL CREDIT'!AZ104+'UNSECURED LOANS'!BA104+'CAR FINANCE'!AY107</f>
        <v>20351931.020000067</v>
      </c>
      <c r="BA107" s="14">
        <f t="shared" si="137"/>
        <v>0.07704030402751122</v>
      </c>
      <c r="BB107" s="10">
        <f>+'SECURED LOANS'!AR122+'RETAIL CREDIT'!BB104+'UNSECURED LOANS'!BC104+'CAR FINANCE'!BA107</f>
        <v>6815</v>
      </c>
      <c r="BC107" s="14">
        <f t="shared" si="122"/>
        <v>0.09255863857990737</v>
      </c>
      <c r="BD107" s="56"/>
      <c r="BE107" s="55"/>
      <c r="BF107" s="56"/>
      <c r="BG107" s="9">
        <f>+'SECURED LOANS'!AU122+'RETAIL CREDIT'!BG104+'UNSECURED LOANS'!BH104+'CAR FINANCE'!BE107</f>
        <v>18393470.540000007</v>
      </c>
      <c r="BH107" s="14">
        <f t="shared" si="123"/>
        <v>0.07773564577261516</v>
      </c>
      <c r="BI107" s="10">
        <f>+'SECURED LOANS'!AW122+'RETAIL CREDIT'!BI104+'UNSECURED LOANS'!BJ104+'CAR FINANCE'!BG107</f>
        <v>5497</v>
      </c>
      <c r="BJ107" s="14">
        <f t="shared" si="124"/>
        <v>0.08517594558160435</v>
      </c>
      <c r="BK107" s="56"/>
      <c r="BL107" s="55"/>
      <c r="BM107" s="56"/>
      <c r="BN107" s="9">
        <f>+'SECURED LOANS'!AZ122+'RETAIL CREDIT'!BN104+'UNSECURED LOANS'!BO104+'CAR FINANCE'!BL107</f>
        <v>16711814.110000012</v>
      </c>
      <c r="BO107" s="14">
        <f t="shared" si="125"/>
        <v>0.07697422193694188</v>
      </c>
      <c r="BP107" s="10">
        <f>+'SECURED LOANS'!BB122+'RETAIL CREDIT'!BP104+'UNSECURED LOANS'!BQ104+'CAR FINANCE'!BN107</f>
        <v>5022</v>
      </c>
      <c r="BQ107" s="14">
        <f t="shared" si="126"/>
        <v>0.08636136953792713</v>
      </c>
      <c r="BR107" s="56"/>
      <c r="BS107" s="55"/>
      <c r="BT107" s="56"/>
      <c r="BU107" s="9">
        <f>+'SECURED LOANS'!BE122+'RETAIL CREDIT'!BU104+'UNSECURED LOANS'!BV104+'CAR FINANCE'!BS107</f>
        <v>15280277.910000032</v>
      </c>
      <c r="BV107" s="14">
        <f t="shared" si="127"/>
        <v>0.06583907084450484</v>
      </c>
      <c r="BW107" s="10">
        <f>+'SECURED LOANS'!BG122+'RETAIL CREDIT'!BW104+'UNSECURED LOANS'!BX104+'CAR FINANCE'!BU107</f>
        <v>4559</v>
      </c>
      <c r="BX107" s="14">
        <f t="shared" si="128"/>
        <v>0.0816483693608181</v>
      </c>
      <c r="BY107" s="56"/>
      <c r="BZ107" s="55"/>
      <c r="CA107" s="56"/>
      <c r="CB107" s="9">
        <f>+'SECURED LOANS'!BJ122+'RETAIL CREDIT'!CB104+'UNSECURED LOANS'!CC104+'CAR FINANCE'!BZ107</f>
        <v>13901875.770000001</v>
      </c>
      <c r="CC107" s="14">
        <f t="shared" si="129"/>
        <v>0.05970658623089787</v>
      </c>
      <c r="CD107" s="10">
        <f>+'SECURED LOANS'!BL122+'RETAIL CREDIT'!CD104+'UNSECURED LOANS'!CE104+'CAR FINANCE'!CB107</f>
        <v>4216</v>
      </c>
      <c r="CE107" s="14">
        <f t="shared" si="130"/>
        <v>0.07685296583907543</v>
      </c>
      <c r="CF107" s="56"/>
      <c r="CG107" s="55"/>
      <c r="CH107" s="56"/>
      <c r="CI107" s="9">
        <f>+'SECURED LOANS'!BO122+'RETAIL CREDIT'!CI104+'UNSECURED LOANS'!CJ104+'CAR FINANCE'!CG107</f>
        <v>12782698.489999996</v>
      </c>
      <c r="CJ107" s="14">
        <f t="shared" si="131"/>
        <v>0.05718789398000993</v>
      </c>
      <c r="CK107" s="10">
        <f>+'SECURED LOANS'!BQ122+'RETAIL CREDIT'!CK104+'UNSECURED LOANS'!CL104+'CAR FINANCE'!CI107</f>
        <v>3798</v>
      </c>
      <c r="CL107" s="14">
        <f t="shared" si="132"/>
        <v>0.08067805251083354</v>
      </c>
      <c r="CM107" s="56"/>
      <c r="CN107" s="55"/>
      <c r="CO107" s="9">
        <f>+'SECURED LOANS'!BT122+'RETAIL CREDIT'!CP104+'UNSECURED LOANS'!CQ104+'CAR FINANCE'!CN107</f>
        <v>11743834.720000014</v>
      </c>
      <c r="CP107" s="14">
        <f t="shared" si="133"/>
        <v>0.055168706951212614</v>
      </c>
      <c r="CQ107" s="10">
        <f>+'SECURED LOANS'!BV122+'RETAIL CREDIT'!CR104+'UNSECURED LOANS'!CS104+'CAR FINANCE'!CP107</f>
        <v>3378</v>
      </c>
      <c r="CR107" s="14">
        <f t="shared" si="134"/>
        <v>0.083910872643267</v>
      </c>
      <c r="CS107" s="34"/>
      <c r="CT107" s="34"/>
      <c r="CU107" s="100">
        <f>+'SECURED LOANS'!BY122+'RETAIL CREDIT'!CW104+'UNSECURED LOANS'!CX104+'CAR FINANCE'!CU107</f>
        <v>11056141.650000002</v>
      </c>
      <c r="CV107" s="14">
        <f t="shared" si="135"/>
        <v>0.04595010568291234</v>
      </c>
      <c r="CW107" s="10">
        <f>+'SECURED LOANS'!CA122+'RETAIL CREDIT'!CY104+'UNSECURED LOANS'!CZ104+'CAR FINANCE'!CW107</f>
        <v>3003</v>
      </c>
      <c r="CX107" s="14">
        <f t="shared" si="136"/>
        <v>0.06871067383594555</v>
      </c>
      <c r="CY107" s="34"/>
      <c r="CZ107" s="34"/>
    </row>
    <row r="108" spans="1:104" ht="12.75">
      <c r="A108" s="24">
        <v>2000</v>
      </c>
      <c r="B108" s="8"/>
      <c r="C108" s="8"/>
      <c r="D108" s="9">
        <f>+'SECURED LOANS'!D123+'RETAIL CREDIT'!D105+'UNSECURED LOANS'!D105+'CAR FINANCE'!D108</f>
        <v>51985264.22999999</v>
      </c>
      <c r="E108" s="14">
        <f t="shared" si="110"/>
        <v>0.25508125899610734</v>
      </c>
      <c r="F108" s="10">
        <f>+'SECURED LOANS'!F123+'RETAIL CREDIT'!F105+'UNSECURED LOANS'!F105+'CAR FINANCE'!F108</f>
        <v>40549</v>
      </c>
      <c r="G108" s="14">
        <f t="shared" si="111"/>
        <v>0.40159453302961273</v>
      </c>
      <c r="H108" s="14"/>
      <c r="I108" s="9">
        <v>41424585.36</v>
      </c>
      <c r="J108" s="14">
        <v>0.2371</v>
      </c>
      <c r="K108" s="10">
        <v>29989</v>
      </c>
      <c r="L108" s="14">
        <v>0.3682</v>
      </c>
      <c r="M108" s="56"/>
      <c r="N108" s="55"/>
      <c r="O108" s="56"/>
      <c r="P108" s="9">
        <f>+'SECURED LOANS'!Q123+'RETAIL CREDIT'!Q105+'UNSECURED LOANS'!R105+'CAR FINANCE'!P108</f>
        <v>34505089.360000074</v>
      </c>
      <c r="Q108" s="14">
        <f t="shared" si="112"/>
        <v>0.1533608668772246</v>
      </c>
      <c r="R108" s="10">
        <f>+'SECURED LOANS'!S123+'RETAIL CREDIT'!S105+'UNSECURED LOANS'!T105+'CAR FINANCE'!R108</f>
        <v>22275</v>
      </c>
      <c r="S108" s="14">
        <f t="shared" si="113"/>
        <v>0.24804293843190095</v>
      </c>
      <c r="T108" s="56"/>
      <c r="U108" s="55"/>
      <c r="V108" s="56"/>
      <c r="W108" s="9">
        <f>+'SECURED LOANS'!V123+'RETAIL CREDIT'!X105+'UNSECURED LOANS'!Y105+'CAR FINANCE'!W108</f>
        <v>29559489.130000006</v>
      </c>
      <c r="X108" s="14">
        <f t="shared" si="114"/>
        <v>0.13137971706515497</v>
      </c>
      <c r="Y108" s="10">
        <f>+'SECURED LOANS'!X123+'RETAIL CREDIT'!Z105+'UNSECURED LOANS'!AA105+'CAR FINANCE'!Y108</f>
        <v>18280</v>
      </c>
      <c r="Z108" s="14">
        <f t="shared" si="115"/>
        <v>0.21925826416542724</v>
      </c>
      <c r="AA108" s="56"/>
      <c r="AB108" s="55"/>
      <c r="AC108" s="56"/>
      <c r="AD108" s="34"/>
      <c r="AE108" s="9">
        <f>+'SECURED LOANS'!AA123+'RETAIL CREDIT'!AE105+'UNSECURED LOANS'!AF105+'CAR FINANCE'!AD108</f>
        <v>25340989.609999992</v>
      </c>
      <c r="AF108" s="14">
        <f t="shared" si="116"/>
        <v>0.10905383233995146</v>
      </c>
      <c r="AG108" s="10">
        <f>+'SECURED LOANS'!AC123+'RETAIL CREDIT'!AG105+'UNSECURED LOANS'!AH105+'CAR FINANCE'!AF108</f>
        <v>15209</v>
      </c>
      <c r="AH108" s="14">
        <f t="shared" si="117"/>
        <v>0.1989404839764552</v>
      </c>
      <c r="AI108" s="56"/>
      <c r="AJ108" s="55"/>
      <c r="AK108" s="56"/>
      <c r="AL108" s="9">
        <f>+'SECURED LOANS'!AF123+'RETAIL CREDIT'!AL105+'UNSECURED LOANS'!AM105+'CAR FINANCE'!AK108</f>
        <v>21917531.670000046</v>
      </c>
      <c r="AM108" s="14">
        <f t="shared" si="118"/>
        <v>0.09590748796655929</v>
      </c>
      <c r="AN108" s="10">
        <f>+'SECURED LOANS'!AH123+'RETAIL CREDIT'!AN105+'UNSECURED LOANS'!AO105+'CAR FINANCE'!AM108</f>
        <v>12483</v>
      </c>
      <c r="AO108" s="14">
        <f t="shared" si="119"/>
        <v>0.168236768689605</v>
      </c>
      <c r="AP108" s="56"/>
      <c r="AQ108" s="55"/>
      <c r="AR108" s="56"/>
      <c r="AS108" s="9">
        <f>+'SECURED LOANS'!AK123+'RETAIL CREDIT'!AS105+'UNSECURED LOANS'!AT105+'CAR FINANCE'!AR108</f>
        <v>18848196.29</v>
      </c>
      <c r="AT108" s="14">
        <f t="shared" si="120"/>
        <v>0.08341696903083</v>
      </c>
      <c r="AU108" s="10">
        <f>+'SECURED LOANS'!AM123+'RETAIL CREDIT'!AU105+'UNSECURED LOANS'!AV105+'CAR FINANCE'!AT108</f>
        <v>10360</v>
      </c>
      <c r="AV108" s="14">
        <f t="shared" si="121"/>
        <v>0.14707761325402122</v>
      </c>
      <c r="AW108" s="56"/>
      <c r="AX108" s="55"/>
      <c r="AY108" s="56"/>
      <c r="AZ108" s="9">
        <f>+'SECURED LOANS'!AP123+'RETAIL CREDIT'!AZ105+'UNSECURED LOANS'!BA105+'CAR FINANCE'!AY108</f>
        <v>16758757.489999969</v>
      </c>
      <c r="BA108" s="14">
        <f t="shared" si="137"/>
        <v>0.06343868652483886</v>
      </c>
      <c r="BB108" s="10">
        <f>+'SECURED LOANS'!AR123+'RETAIL CREDIT'!BB105+'UNSECURED LOANS'!BC105+'CAR FINANCE'!BA108</f>
        <v>8690</v>
      </c>
      <c r="BC108" s="14">
        <f t="shared" si="122"/>
        <v>0.11802414809382172</v>
      </c>
      <c r="BD108" s="56"/>
      <c r="BE108" s="55"/>
      <c r="BF108" s="56"/>
      <c r="BG108" s="9">
        <f>+'SECURED LOANS'!AU123+'RETAIL CREDIT'!BG105+'UNSECURED LOANS'!BH105+'CAR FINANCE'!BE108</f>
        <v>14793246.879999986</v>
      </c>
      <c r="BH108" s="14">
        <f t="shared" si="123"/>
        <v>0.0625201533766951</v>
      </c>
      <c r="BI108" s="10">
        <f>+'SECURED LOANS'!AW123+'RETAIL CREDIT'!BI105+'UNSECURED LOANS'!BJ105+'CAR FINANCE'!BG108</f>
        <v>7542</v>
      </c>
      <c r="BJ108" s="14">
        <f t="shared" si="124"/>
        <v>0.11686319475649627</v>
      </c>
      <c r="BK108" s="56"/>
      <c r="BL108" s="55"/>
      <c r="BM108" s="56"/>
      <c r="BN108" s="9">
        <f>+'SECURED LOANS'!AZ123+'RETAIL CREDIT'!BN105+'UNSECURED LOANS'!BO105+'CAR FINANCE'!BL108</f>
        <v>13126280.409999993</v>
      </c>
      <c r="BO108" s="14">
        <f t="shared" si="125"/>
        <v>0.06045933821638656</v>
      </c>
      <c r="BP108" s="10">
        <f>+'SECURED LOANS'!BB123+'RETAIL CREDIT'!BP105+'UNSECURED LOANS'!BQ105+'CAR FINANCE'!BN108</f>
        <v>6418</v>
      </c>
      <c r="BQ108" s="14">
        <f t="shared" si="126"/>
        <v>0.11036783546284673</v>
      </c>
      <c r="BR108" s="56"/>
      <c r="BS108" s="55"/>
      <c r="BT108" s="56"/>
      <c r="BU108" s="9">
        <f>+'SECURED LOANS'!BE123+'RETAIL CREDIT'!BU105+'UNSECURED LOANS'!BV105+'CAR FINANCE'!BS108</f>
        <v>11662218.950000001</v>
      </c>
      <c r="BV108" s="14">
        <f t="shared" si="127"/>
        <v>0.05024971824306142</v>
      </c>
      <c r="BW108" s="10">
        <f>+'SECURED LOANS'!BG123+'RETAIL CREDIT'!BW105+'UNSECURED LOANS'!BX105+'CAR FINANCE'!BU108</f>
        <v>5415</v>
      </c>
      <c r="BX108" s="14">
        <f t="shared" si="128"/>
        <v>0.09697870587603202</v>
      </c>
      <c r="BY108" s="56"/>
      <c r="BZ108" s="55"/>
      <c r="CA108" s="56"/>
      <c r="CB108" s="9">
        <f>+'SECURED LOANS'!BJ123+'RETAIL CREDIT'!CB105+'UNSECURED LOANS'!CC105+'CAR FINANCE'!BZ108</f>
        <v>10439909.260000013</v>
      </c>
      <c r="CC108" s="14">
        <f t="shared" si="129"/>
        <v>0.04483793070716959</v>
      </c>
      <c r="CD108" s="10">
        <f>+'SECURED LOANS'!BL123+'RETAIL CREDIT'!CD105+'UNSECURED LOANS'!CE105+'CAR FINANCE'!CB108</f>
        <v>4686</v>
      </c>
      <c r="CE108" s="14">
        <f t="shared" si="130"/>
        <v>0.08542054030405775</v>
      </c>
      <c r="CF108" s="56"/>
      <c r="CG108" s="55"/>
      <c r="CH108" s="56"/>
      <c r="CI108" s="9">
        <f>+'SECURED LOANS'!BO123+'RETAIL CREDIT'!CI105+'UNSECURED LOANS'!CJ105+'CAR FINANCE'!CG108</f>
        <v>9443753.50000001</v>
      </c>
      <c r="CJ108" s="14">
        <f t="shared" si="131"/>
        <v>0.04224995014580434</v>
      </c>
      <c r="CK108" s="10">
        <f>+'SECURED LOANS'!BQ123+'RETAIL CREDIT'!CK105+'UNSECURED LOANS'!CL105+'CAR FINANCE'!CI108</f>
        <v>4155</v>
      </c>
      <c r="CL108" s="14">
        <f t="shared" si="132"/>
        <v>0.08826153453989294</v>
      </c>
      <c r="CM108" s="56"/>
      <c r="CN108" s="55"/>
      <c r="CO108" s="9">
        <f>+'SECURED LOANS'!BT123+'RETAIL CREDIT'!CP105+'UNSECURED LOANS'!CQ105+'CAR FINANCE'!CN108</f>
        <v>8617310.390000004</v>
      </c>
      <c r="CP108" s="14">
        <f t="shared" si="133"/>
        <v>0.040481314915299604</v>
      </c>
      <c r="CQ108" s="10">
        <f>+'SECURED LOANS'!BV123+'RETAIL CREDIT'!CR105+'UNSECURED LOANS'!CS105+'CAR FINANCE'!CP108</f>
        <v>3805</v>
      </c>
      <c r="CR108" s="14">
        <f t="shared" si="134"/>
        <v>0.09451772362570485</v>
      </c>
      <c r="CS108" s="34"/>
      <c r="CT108" s="34"/>
      <c r="CU108" s="100">
        <f>+'SECURED LOANS'!BY123+'RETAIL CREDIT'!CW105+'UNSECURED LOANS'!CX105+'CAR FINANCE'!CU108</f>
        <v>8419811.000000007</v>
      </c>
      <c r="CV108" s="14">
        <f t="shared" si="135"/>
        <v>0.03499332927596384</v>
      </c>
      <c r="CW108" s="10">
        <f>+'SECURED LOANS'!CA123+'RETAIL CREDIT'!CY105+'UNSECURED LOANS'!CZ105+'CAR FINANCE'!CW108</f>
        <v>3962</v>
      </c>
      <c r="CX108" s="14">
        <f t="shared" si="136"/>
        <v>0.09065324333600275</v>
      </c>
      <c r="CY108" s="34"/>
      <c r="CZ108" s="34"/>
    </row>
    <row r="109" spans="1:104" ht="12.75">
      <c r="A109" s="24">
        <v>2001</v>
      </c>
      <c r="B109" s="8"/>
      <c r="C109" s="8"/>
      <c r="D109" s="9">
        <f>+'SECURED LOANS'!D124+'RETAIL CREDIT'!D106+'UNSECURED LOANS'!D106+'CAR FINANCE'!D109</f>
        <v>74498371.16999996</v>
      </c>
      <c r="E109" s="14">
        <f t="shared" si="110"/>
        <v>0.36554855674344044</v>
      </c>
      <c r="F109" s="10">
        <f>+'SECURED LOANS'!F124+'RETAIL CREDIT'!F106+'UNSECURED LOANS'!F106+'CAR FINANCE'!F109</f>
        <v>28455</v>
      </c>
      <c r="G109" s="14">
        <f t="shared" si="111"/>
        <v>0.281816381103298</v>
      </c>
      <c r="H109" s="14"/>
      <c r="I109" s="9">
        <v>64601661.39</v>
      </c>
      <c r="J109" s="14">
        <v>0.3697</v>
      </c>
      <c r="K109" s="10">
        <v>25491</v>
      </c>
      <c r="L109" s="14">
        <v>0.3129</v>
      </c>
      <c r="M109" s="56"/>
      <c r="N109" s="55"/>
      <c r="O109" s="56"/>
      <c r="P109" s="9">
        <f>+'SECURED LOANS'!Q124+'RETAIL CREDIT'!Q106+'UNSECURED LOANS'!R106+'CAR FINANCE'!P109</f>
        <v>129827171.9000003</v>
      </c>
      <c r="Q109" s="14">
        <f t="shared" si="112"/>
        <v>0.5770281426914253</v>
      </c>
      <c r="R109" s="10">
        <f>+'SECURED LOANS'!S124+'RETAIL CREDIT'!S106+'UNSECURED LOANS'!T106+'CAR FINANCE'!R109</f>
        <v>45539</v>
      </c>
      <c r="S109" s="14">
        <f t="shared" si="113"/>
        <v>0.5070988719753238</v>
      </c>
      <c r="T109" s="56"/>
      <c r="U109" s="55"/>
      <c r="V109" s="56"/>
      <c r="W109" s="9">
        <f>+'SECURED LOANS'!V124+'RETAIL CREDIT'!X106+'UNSECURED LOANS'!Y106+'CAR FINANCE'!W109</f>
        <v>151234581.9699999</v>
      </c>
      <c r="X109" s="14">
        <f t="shared" si="114"/>
        <v>0.6721752362600988</v>
      </c>
      <c r="Y109" s="10">
        <f>+'SECURED LOANS'!X124+'RETAIL CREDIT'!Z106+'UNSECURED LOANS'!AA106+'CAR FINANCE'!Y109</f>
        <v>46184</v>
      </c>
      <c r="Z109" s="14">
        <f t="shared" si="115"/>
        <v>0.5539509667514273</v>
      </c>
      <c r="AA109" s="56"/>
      <c r="AB109" s="55"/>
      <c r="AC109" s="56"/>
      <c r="AD109" s="34"/>
      <c r="AE109" s="9">
        <f>+'SECURED LOANS'!AA124+'RETAIL CREDIT'!AE106+'UNSECURED LOANS'!AF106+'CAR FINANCE'!AD109</f>
        <v>131122636.20000005</v>
      </c>
      <c r="AF109" s="14">
        <f t="shared" si="116"/>
        <v>0.5642804880234218</v>
      </c>
      <c r="AG109" s="10">
        <f>+'SECURED LOANS'!AC124+'RETAIL CREDIT'!AG106+'UNSECURED LOANS'!AH106+'CAR FINANCE'!AF109</f>
        <v>37880</v>
      </c>
      <c r="AH109" s="14">
        <f t="shared" si="117"/>
        <v>0.49548724656638327</v>
      </c>
      <c r="AI109" s="56"/>
      <c r="AJ109" s="55"/>
      <c r="AK109" s="56"/>
      <c r="AL109" s="9">
        <f>+'SECURED LOANS'!AF124+'RETAIL CREDIT'!AL106+'UNSECURED LOANS'!AM106+'CAR FINANCE'!AK109</f>
        <v>111336730.93000016</v>
      </c>
      <c r="AM109" s="14">
        <f t="shared" si="118"/>
        <v>0.4871910917104205</v>
      </c>
      <c r="AN109" s="10">
        <f>+'SECURED LOANS'!AH124+'RETAIL CREDIT'!AN106+'UNSECURED LOANS'!AO106+'CAR FINANCE'!AM109</f>
        <v>30888</v>
      </c>
      <c r="AO109" s="14">
        <f t="shared" si="119"/>
        <v>0.41628593377269235</v>
      </c>
      <c r="AP109" s="56"/>
      <c r="AQ109" s="55"/>
      <c r="AR109" s="56"/>
      <c r="AS109" s="9">
        <f>+'SECURED LOANS'!AK124+'RETAIL CREDIT'!AS106+'UNSECURED LOANS'!AT106+'CAR FINANCE'!AR109</f>
        <v>93016114.42999995</v>
      </c>
      <c r="AT109" s="14">
        <f t="shared" si="120"/>
        <v>0.4116639182547183</v>
      </c>
      <c r="AU109" s="10">
        <f>+'SECURED LOANS'!AM124+'RETAIL CREDIT'!AU106+'UNSECURED LOANS'!AV106+'CAR FINANCE'!AT109</f>
        <v>25282</v>
      </c>
      <c r="AV109" s="14">
        <f t="shared" si="121"/>
        <v>0.3589204843907494</v>
      </c>
      <c r="AW109" s="56"/>
      <c r="AX109" s="55"/>
      <c r="AY109" s="56"/>
      <c r="AZ109" s="9">
        <f>+'SECURED LOANS'!AP124+'RETAIL CREDIT'!AZ106+'UNSECURED LOANS'!BA106+'CAR FINANCE'!AY109</f>
        <v>78931270.25999993</v>
      </c>
      <c r="BA109" s="14">
        <f t="shared" si="137"/>
        <v>0.29878683512303045</v>
      </c>
      <c r="BB109" s="10">
        <f>+'SECURED LOANS'!AR124+'RETAIL CREDIT'!BB106+'UNSECURED LOANS'!BC106+'CAR FINANCE'!BA109</f>
        <v>21086</v>
      </c>
      <c r="BC109" s="14">
        <f t="shared" si="122"/>
        <v>0.2863817245922123</v>
      </c>
      <c r="BD109" s="56"/>
      <c r="BE109" s="55"/>
      <c r="BF109" s="56"/>
      <c r="BG109" s="9">
        <f>+'SECURED LOANS'!AU124+'RETAIL CREDIT'!BG106+'UNSECURED LOANS'!BH106+'CAR FINANCE'!BE109</f>
        <v>65756791.959999934</v>
      </c>
      <c r="BH109" s="14">
        <f t="shared" si="123"/>
        <v>0.27790550325072594</v>
      </c>
      <c r="BI109" s="10">
        <f>+'SECURED LOANS'!AW124+'RETAIL CREDIT'!BI106+'UNSECURED LOANS'!BJ106+'CAR FINANCE'!BG109</f>
        <v>17445</v>
      </c>
      <c r="BJ109" s="14">
        <f t="shared" si="124"/>
        <v>0.2703100546973054</v>
      </c>
      <c r="BK109" s="56"/>
      <c r="BL109" s="55"/>
      <c r="BM109" s="56"/>
      <c r="BN109" s="9">
        <f>+'SECURED LOANS'!AZ124+'RETAIL CREDIT'!BN106+'UNSECURED LOANS'!BO106+'CAR FINANCE'!BL109</f>
        <v>54501485.27999996</v>
      </c>
      <c r="BO109" s="14">
        <f t="shared" si="125"/>
        <v>0.25103255674232033</v>
      </c>
      <c r="BP109" s="10">
        <f>+'SECURED LOANS'!BB124+'RETAIL CREDIT'!BP106+'UNSECURED LOANS'!BQ106+'CAR FINANCE'!BN109</f>
        <v>14654</v>
      </c>
      <c r="BQ109" s="14">
        <f t="shared" si="126"/>
        <v>0.2519991057763409</v>
      </c>
      <c r="BR109" s="56"/>
      <c r="BS109" s="55"/>
      <c r="BT109" s="56"/>
      <c r="BU109" s="9">
        <f>+'SECURED LOANS'!BE124+'RETAIL CREDIT'!BU106+'UNSECURED LOANS'!BV106+'CAR FINANCE'!BS109</f>
        <v>44917868.529999964</v>
      </c>
      <c r="BV109" s="14">
        <f t="shared" si="127"/>
        <v>0.19354037575425329</v>
      </c>
      <c r="BW109" s="10">
        <f>+'SECURED LOANS'!BG124+'RETAIL CREDIT'!BW106+'UNSECURED LOANS'!BX106+'CAR FINANCE'!BU109</f>
        <v>12805</v>
      </c>
      <c r="BX109" s="14">
        <f t="shared" si="128"/>
        <v>0.2293282232211616</v>
      </c>
      <c r="BY109" s="56"/>
      <c r="BZ109" s="55"/>
      <c r="CA109" s="56"/>
      <c r="CB109" s="9">
        <f>+'SECURED LOANS'!BJ124+'RETAIL CREDIT'!CB106+'UNSECURED LOANS'!CC106+'CAR FINANCE'!BZ109</f>
        <v>37246781.82000002</v>
      </c>
      <c r="CC109" s="14">
        <f t="shared" si="129"/>
        <v>0.1599696492295205</v>
      </c>
      <c r="CD109" s="10">
        <f>+'SECURED LOANS'!BL124+'RETAIL CREDIT'!CD106+'UNSECURED LOANS'!CE106+'CAR FINANCE'!CB109</f>
        <v>10867</v>
      </c>
      <c r="CE109" s="14">
        <f t="shared" si="130"/>
        <v>0.19809325895949542</v>
      </c>
      <c r="CF109" s="56"/>
      <c r="CG109" s="55"/>
      <c r="CH109" s="56"/>
      <c r="CI109" s="9">
        <f>+'SECURED LOANS'!BO124+'RETAIL CREDIT'!CI106+'UNSECURED LOANS'!CJ106+'CAR FINANCE'!CG109</f>
        <v>30322432.059999984</v>
      </c>
      <c r="CJ109" s="14">
        <f t="shared" si="131"/>
        <v>0.1356580561780374</v>
      </c>
      <c r="CK109" s="10">
        <f>+'SECURED LOANS'!BQ124+'RETAIL CREDIT'!CK106+'UNSECURED LOANS'!CL106+'CAR FINANCE'!CI109</f>
        <v>9090</v>
      </c>
      <c r="CL109" s="14">
        <f t="shared" si="132"/>
        <v>0.19309202141218454</v>
      </c>
      <c r="CM109" s="56"/>
      <c r="CN109" s="55"/>
      <c r="CO109" s="9">
        <f>+'SECURED LOANS'!BT124+'RETAIL CREDIT'!CP106+'UNSECURED LOANS'!CQ106+'CAR FINANCE'!CN109</f>
        <v>25002729.20000002</v>
      </c>
      <c r="CP109" s="14">
        <f t="shared" si="133"/>
        <v>0.11745467073597628</v>
      </c>
      <c r="CQ109" s="10">
        <f>+'SECURED LOANS'!BV124+'RETAIL CREDIT'!CR106+'UNSECURED LOANS'!CS106+'CAR FINANCE'!CP109</f>
        <v>7641</v>
      </c>
      <c r="CR109" s="14">
        <f t="shared" si="134"/>
        <v>0.1898054996646546</v>
      </c>
      <c r="CS109" s="34"/>
      <c r="CT109" s="34"/>
      <c r="CU109" s="100">
        <f>+'SECURED LOANS'!BY124+'RETAIL CREDIT'!CW106+'UNSECURED LOANS'!CX106+'CAR FINANCE'!CU109</f>
        <v>22193384.850000005</v>
      </c>
      <c r="CV109" s="14">
        <f t="shared" si="135"/>
        <v>0.09223727513648904</v>
      </c>
      <c r="CW109" s="10">
        <f>+'SECURED LOANS'!CA124+'RETAIL CREDIT'!CY106+'UNSECURED LOANS'!CZ106+'CAR FINANCE'!CW109</f>
        <v>7086</v>
      </c>
      <c r="CX109" s="14">
        <f t="shared" si="136"/>
        <v>0.16213247912138198</v>
      </c>
      <c r="CY109" s="34"/>
      <c r="CZ109" s="34"/>
    </row>
    <row r="110" spans="1:104" ht="12.75">
      <c r="A110" s="24">
        <v>2002</v>
      </c>
      <c r="B110" s="8"/>
      <c r="C110" s="8"/>
      <c r="D110" s="9"/>
      <c r="E110" s="14"/>
      <c r="F110" s="10"/>
      <c r="G110" s="14"/>
      <c r="H110" s="14"/>
      <c r="I110" s="9"/>
      <c r="J110" s="14"/>
      <c r="K110" s="10"/>
      <c r="L110" s="14"/>
      <c r="M110" s="56"/>
      <c r="N110" s="55"/>
      <c r="O110" s="56"/>
      <c r="P110" s="9"/>
      <c r="Q110" s="14"/>
      <c r="R110" s="10"/>
      <c r="S110" s="14"/>
      <c r="T110" s="56"/>
      <c r="U110" s="55"/>
      <c r="V110" s="56"/>
      <c r="W110" s="9"/>
      <c r="X110" s="14"/>
      <c r="Y110" s="10"/>
      <c r="Z110" s="14"/>
      <c r="AA110" s="56"/>
      <c r="AB110" s="55"/>
      <c r="AC110" s="56"/>
      <c r="AD110" s="34"/>
      <c r="AE110" s="9">
        <f>+'SECURED LOANS'!AA125+'RETAIL CREDIT'!AE107+'UNSECURED LOANS'!AF107+'CAR FINANCE'!AD110</f>
        <v>27750376.89</v>
      </c>
      <c r="AF110" s="14">
        <f t="shared" si="116"/>
        <v>0.1194225243491793</v>
      </c>
      <c r="AG110" s="10">
        <f>+'SECURED LOANS'!AC125+'RETAIL CREDIT'!AG107+'UNSECURED LOANS'!AH107+'CAR FINANCE'!AF110</f>
        <v>6683</v>
      </c>
      <c r="AH110" s="14">
        <f t="shared" si="117"/>
        <v>0.0874166121648136</v>
      </c>
      <c r="AI110" s="56"/>
      <c r="AJ110" s="55"/>
      <c r="AK110" s="56"/>
      <c r="AL110" s="9">
        <f>+'SECURED LOANS'!AF125+'RETAIL CREDIT'!AL107+'UNSECURED LOANS'!AM107+'CAR FINANCE'!AK110</f>
        <v>52200215.57999993</v>
      </c>
      <c r="AM110" s="14">
        <f t="shared" si="118"/>
        <v>0.22841949645466775</v>
      </c>
      <c r="AN110" s="10">
        <f>+'SECURED LOANS'!AH125+'RETAIL CREDIT'!AN107+'UNSECURED LOANS'!AO107+'CAR FINANCE'!AM110</f>
        <v>16034</v>
      </c>
      <c r="AO110" s="14">
        <f t="shared" si="119"/>
        <v>0.21609455653041146</v>
      </c>
      <c r="AP110" s="56"/>
      <c r="AQ110" s="55"/>
      <c r="AR110" s="56"/>
      <c r="AS110" s="9">
        <f>+'SECURED LOANS'!AK125+'RETAIL CREDIT'!AS107+'UNSECURED LOANS'!AT107+'CAR FINANCE'!AR110</f>
        <v>75511498.44999999</v>
      </c>
      <c r="AT110" s="14">
        <f t="shared" si="120"/>
        <v>0.33419326872233124</v>
      </c>
      <c r="AU110" s="10">
        <f>+'SECURED LOANS'!AM125+'RETAIL CREDIT'!AU107+'UNSECURED LOANS'!AV107+'CAR FINANCE'!AT110</f>
        <v>22661</v>
      </c>
      <c r="AV110" s="14">
        <f t="shared" si="121"/>
        <v>0.32171098397194736</v>
      </c>
      <c r="AW110" s="56"/>
      <c r="AX110" s="55"/>
      <c r="AY110" s="56"/>
      <c r="AZ110" s="9">
        <f>+'SECURED LOANS'!AP125+'RETAIL CREDIT'!AZ107+'UNSECURED LOANS'!BA107+'CAR FINANCE'!AY110</f>
        <v>128805686.10000017</v>
      </c>
      <c r="BA110" s="14">
        <f t="shared" si="137"/>
        <v>0.48758170455002636</v>
      </c>
      <c r="BB110" s="10">
        <f>+'SECURED LOANS'!AR125+'RETAIL CREDIT'!BB107+'UNSECURED LOANS'!BC107+'CAR FINANCE'!BA110</f>
        <v>31719</v>
      </c>
      <c r="BC110" s="14">
        <f t="shared" si="122"/>
        <v>0.43079493134498636</v>
      </c>
      <c r="BD110" s="56"/>
      <c r="BE110" s="55"/>
      <c r="BF110" s="56"/>
      <c r="BG110" s="9">
        <f>+'SECURED LOANS'!AU125+'RETAIL CREDIT'!BG107+'UNSECURED LOANS'!BH107+'CAR FINANCE'!BE110</f>
        <v>111909648.88000023</v>
      </c>
      <c r="BH110" s="14">
        <f t="shared" si="123"/>
        <v>0.4729596192820191</v>
      </c>
      <c r="BI110" s="10">
        <f>+'SECURED LOANS'!AW125+'RETAIL CREDIT'!BI107+'UNSECURED LOANS'!BJ107+'CAR FINANCE'!BG110</f>
        <v>25144</v>
      </c>
      <c r="BJ110" s="14">
        <f t="shared" si="124"/>
        <v>0.3896059624711406</v>
      </c>
      <c r="BK110" s="56"/>
      <c r="BL110" s="55"/>
      <c r="BM110" s="56"/>
      <c r="BN110" s="9">
        <f>+'SECURED LOANS'!AZ125+'RETAIL CREDIT'!BN107+'UNSECURED LOANS'!BO107+'CAR FINANCE'!BL110</f>
        <v>95522166.48000015</v>
      </c>
      <c r="BO110" s="14">
        <f t="shared" si="125"/>
        <v>0.4399728475994302</v>
      </c>
      <c r="BP110" s="10">
        <f>+'SECURED LOANS'!BB125+'RETAIL CREDIT'!BP107+'UNSECURED LOANS'!BQ107+'CAR FINANCE'!BN110</f>
        <v>20114</v>
      </c>
      <c r="BQ110" s="14">
        <f t="shared" si="126"/>
        <v>0.3458925899812557</v>
      </c>
      <c r="BR110" s="56"/>
      <c r="BS110" s="55"/>
      <c r="BT110" s="56"/>
      <c r="BU110" s="9">
        <f>+'SECURED LOANS'!BE125+'RETAIL CREDIT'!BU107+'UNSECURED LOANS'!BV107+'CAR FINANCE'!BS110</f>
        <v>81182362.95000003</v>
      </c>
      <c r="BV110" s="14">
        <f t="shared" si="127"/>
        <v>0.34979542761400906</v>
      </c>
      <c r="BW110" s="10">
        <f>+'SECURED LOANS'!BG125+'RETAIL CREDIT'!BW107+'UNSECURED LOANS'!BX107+'CAR FINANCE'!BU110</f>
        <v>16235</v>
      </c>
      <c r="BX110" s="14">
        <f t="shared" si="128"/>
        <v>0.29075702491179684</v>
      </c>
      <c r="BY110" s="56"/>
      <c r="BZ110" s="55"/>
      <c r="CA110" s="56"/>
      <c r="CB110" s="9">
        <f>+'SECURED LOANS'!BJ125+'RETAIL CREDIT'!CB107+'UNSECURED LOANS'!CC107+'CAR FINANCE'!BZ110</f>
        <v>69614609.07999998</v>
      </c>
      <c r="CC110" s="14">
        <f t="shared" si="129"/>
        <v>0.2989848800789035</v>
      </c>
      <c r="CD110" s="10">
        <f>+'SECURED LOANS'!BL125+'RETAIL CREDIT'!CD107+'UNSECURED LOANS'!CE107+'CAR FINANCE'!CB110</f>
        <v>13901</v>
      </c>
      <c r="CE110" s="14">
        <f t="shared" si="130"/>
        <v>0.25339968646323235</v>
      </c>
      <c r="CF110" s="56"/>
      <c r="CG110" s="55"/>
      <c r="CH110" s="56"/>
      <c r="CI110" s="9">
        <f>+'SECURED LOANS'!BO125+'RETAIL CREDIT'!CI107+'UNSECURED LOANS'!CJ107+'CAR FINANCE'!CG110</f>
        <v>58882638.11999999</v>
      </c>
      <c r="CJ110" s="14">
        <f t="shared" si="131"/>
        <v>0.26343217503754573</v>
      </c>
      <c r="CK110" s="10">
        <f>+'SECURED LOANS'!BQ125+'RETAIL CREDIT'!CK107+'UNSECURED LOANS'!CL107+'CAR FINANCE'!CI110</f>
        <v>12047</v>
      </c>
      <c r="CL110" s="14">
        <f t="shared" si="132"/>
        <v>0.2559053445492395</v>
      </c>
      <c r="CM110" s="56"/>
      <c r="CN110" s="55"/>
      <c r="CO110" s="9">
        <f>+'SECURED LOANS'!BT125+'RETAIL CREDIT'!CP107+'UNSECURED LOANS'!CQ107+'CAR FINANCE'!CN110</f>
        <v>49291082.89</v>
      </c>
      <c r="CP110" s="14">
        <f t="shared" si="133"/>
        <v>0.2315534382168431</v>
      </c>
      <c r="CQ110" s="10">
        <f>+'SECURED LOANS'!BV125+'RETAIL CREDIT'!CR107+'UNSECURED LOANS'!CS107+'CAR FINANCE'!CP110</f>
        <v>10046</v>
      </c>
      <c r="CR110" s="14">
        <f t="shared" si="134"/>
        <v>0.2495466626922026</v>
      </c>
      <c r="CS110" s="34"/>
      <c r="CT110" s="34"/>
      <c r="CU110" s="100">
        <f>+'SECURED LOANS'!BY125+'RETAIL CREDIT'!CW107+'UNSECURED LOANS'!CX107+'CAR FINANCE'!CU110</f>
        <v>52557732.62000002</v>
      </c>
      <c r="CV110" s="14">
        <f t="shared" si="135"/>
        <v>0.2184336493502912</v>
      </c>
      <c r="CW110" s="10">
        <f>+'SECURED LOANS'!CA125+'RETAIL CREDIT'!CY107+'UNSECURED LOANS'!CZ107+'CAR FINANCE'!CW110</f>
        <v>11133</v>
      </c>
      <c r="CX110" s="14">
        <f t="shared" si="136"/>
        <v>0.25473058002516874</v>
      </c>
      <c r="CY110" s="34"/>
      <c r="CZ110" s="34"/>
    </row>
    <row r="111" spans="1:104" ht="12.75">
      <c r="A111" s="24">
        <v>2003</v>
      </c>
      <c r="B111" s="8"/>
      <c r="C111" s="8"/>
      <c r="D111" s="9"/>
      <c r="E111" s="14"/>
      <c r="F111" s="10"/>
      <c r="G111" s="14"/>
      <c r="H111" s="14"/>
      <c r="I111" s="9"/>
      <c r="J111" s="14"/>
      <c r="K111" s="10"/>
      <c r="L111" s="14"/>
      <c r="M111" s="56"/>
      <c r="N111" s="55"/>
      <c r="O111" s="56"/>
      <c r="P111" s="9"/>
      <c r="Q111" s="14"/>
      <c r="R111" s="10"/>
      <c r="S111" s="14"/>
      <c r="T111" s="56"/>
      <c r="U111" s="55"/>
      <c r="V111" s="56"/>
      <c r="W111" s="9"/>
      <c r="X111" s="14"/>
      <c r="Y111" s="10"/>
      <c r="Z111" s="14"/>
      <c r="AA111" s="56"/>
      <c r="AB111" s="55"/>
      <c r="AC111" s="56"/>
      <c r="AD111" s="34"/>
      <c r="AE111" s="9"/>
      <c r="AF111" s="14"/>
      <c r="AG111" s="10"/>
      <c r="AH111" s="14"/>
      <c r="AI111" s="56"/>
      <c r="AJ111" s="55"/>
      <c r="AK111" s="56"/>
      <c r="AL111" s="9"/>
      <c r="AM111" s="14"/>
      <c r="AN111" s="10"/>
      <c r="AO111" s="14"/>
      <c r="AP111" s="56"/>
      <c r="AQ111" s="55"/>
      <c r="AR111" s="56"/>
      <c r="AS111" s="9"/>
      <c r="AT111" s="14"/>
      <c r="AU111" s="10"/>
      <c r="AV111" s="14"/>
      <c r="AW111" s="56"/>
      <c r="AX111" s="55"/>
      <c r="AY111" s="56"/>
      <c r="AZ111" s="9">
        <f>+'SECURED LOANS'!AP126+'RETAIL CREDIT'!AZ108+'UNSECURED LOANS'!BA108+'CAR FINANCE'!AY111</f>
        <v>4532785.8</v>
      </c>
      <c r="BA111" s="14">
        <f t="shared" si="137"/>
        <v>0.017158430606924516</v>
      </c>
      <c r="BB111" s="10">
        <f>+'SECURED LOANS'!AR126+'RETAIL CREDIT'!BB108+'UNSECURED LOANS'!BC108+'CAR FINANCE'!BA111</f>
        <v>1310</v>
      </c>
      <c r="BC111" s="14">
        <f t="shared" si="122"/>
        <v>0.017791902647054828</v>
      </c>
      <c r="BD111" s="56"/>
      <c r="BE111" s="55"/>
      <c r="BF111" s="56"/>
      <c r="BG111" s="9">
        <f>+'SECURED LOANS'!AU126+'RETAIL CREDIT'!BG108+'UNSECURED LOANS'!BH108+'CAR FINANCE'!BE111</f>
        <v>12065230.180000018</v>
      </c>
      <c r="BH111" s="14">
        <f t="shared" si="123"/>
        <v>0.050990837068943216</v>
      </c>
      <c r="BI111" s="10">
        <f>+'SECURED LOANS'!AW126+'RETAIL CREDIT'!BI108+'UNSECURED LOANS'!BJ108+'CAR FINANCE'!BG111</f>
        <v>5369</v>
      </c>
      <c r="BJ111" s="14">
        <f t="shared" si="124"/>
        <v>0.08319258719804143</v>
      </c>
      <c r="BK111" s="56"/>
      <c r="BL111" s="55"/>
      <c r="BM111" s="56"/>
      <c r="BN111" s="9">
        <f>+'SECURED LOANS'!AZ126+'RETAIL CREDIT'!BN108+'UNSECURED LOANS'!BO108+'CAR FINANCE'!BL111</f>
        <v>24411436.37999999</v>
      </c>
      <c r="BO111" s="14">
        <f t="shared" si="125"/>
        <v>0.11243850065261737</v>
      </c>
      <c r="BP111" s="10">
        <f>+'SECURED LOANS'!BB126+'RETAIL CREDIT'!BP108+'UNSECURED LOANS'!BQ108+'CAR FINANCE'!BN111</f>
        <v>8798</v>
      </c>
      <c r="BQ111" s="14">
        <f t="shared" si="126"/>
        <v>0.15129576447524548</v>
      </c>
      <c r="BR111" s="56"/>
      <c r="BS111" s="55"/>
      <c r="BT111" s="56"/>
      <c r="BU111" s="9">
        <f>+'SECURED LOANS'!BE126+'RETAIL CREDIT'!BU108+'UNSECURED LOANS'!BV108+'CAR FINANCE'!BS111</f>
        <v>66925847.079999916</v>
      </c>
      <c r="BV111" s="14">
        <f t="shared" si="127"/>
        <v>0.28836750307695175</v>
      </c>
      <c r="BW111" s="10">
        <f>+'SECURED LOANS'!BG126+'RETAIL CREDIT'!BW108+'UNSECURED LOANS'!BX108+'CAR FINANCE'!BU111</f>
        <v>13981</v>
      </c>
      <c r="BX111" s="14">
        <f t="shared" si="128"/>
        <v>0.25038952665795083</v>
      </c>
      <c r="BY111" s="56"/>
      <c r="BZ111" s="55"/>
      <c r="CA111" s="56"/>
      <c r="CB111" s="9">
        <f>+'SECURED LOANS'!BJ126+'RETAIL CREDIT'!CB108+'UNSECURED LOANS'!CC108+'CAR FINANCE'!BZ111</f>
        <v>89944354.36999996</v>
      </c>
      <c r="CC111" s="14">
        <f t="shared" si="129"/>
        <v>0.3862982549278555</v>
      </c>
      <c r="CD111" s="10">
        <f>+'SECURED LOANS'!BL126+'RETAIL CREDIT'!CD108+'UNSECURED LOANS'!CE108+'CAR FINANCE'!CB111</f>
        <v>18490</v>
      </c>
      <c r="CE111" s="14">
        <f t="shared" si="130"/>
        <v>0.3370520252287725</v>
      </c>
      <c r="CF111" s="56"/>
      <c r="CG111" s="55"/>
      <c r="CH111" s="56"/>
      <c r="CI111" s="9">
        <f>+'SECURED LOANS'!BO126+'RETAIL CREDIT'!CI108+'UNSECURED LOANS'!CJ108+'CAR FINANCE'!CG111</f>
        <v>93814845.90000005</v>
      </c>
      <c r="CJ111" s="14">
        <f t="shared" si="131"/>
        <v>0.4197136829345784</v>
      </c>
      <c r="CK111" s="10">
        <f>+'SECURED LOANS'!BQ126+'RETAIL CREDIT'!CK108+'UNSECURED LOANS'!CL108+'CAR FINANCE'!CI111</f>
        <v>14739</v>
      </c>
      <c r="CL111" s="14">
        <f t="shared" si="132"/>
        <v>0.31308947234259493</v>
      </c>
      <c r="CM111" s="56"/>
      <c r="CN111" s="55"/>
      <c r="CO111" s="9">
        <f>+'SECURED LOANS'!BT126+'RETAIL CREDIT'!CP108+'UNSECURED LOANS'!CQ108+'CAR FINANCE'!CN111</f>
        <v>78367190.29999994</v>
      </c>
      <c r="CP111" s="14">
        <f t="shared" si="133"/>
        <v>0.36814351183670296</v>
      </c>
      <c r="CQ111" s="10">
        <f>+'SECURED LOANS'!BV126+'RETAIL CREDIT'!CR108+'UNSECURED LOANS'!CS108+'CAR FINANCE'!CP111</f>
        <v>11281</v>
      </c>
      <c r="CR111" s="14">
        <f t="shared" si="134"/>
        <v>0.2802245572198624</v>
      </c>
      <c r="CS111" s="34"/>
      <c r="CT111" s="34"/>
      <c r="CU111" s="100">
        <f>+'SECURED LOANS'!BY126+'RETAIL CREDIT'!CW108+'UNSECURED LOANS'!CX108+'CAR FINANCE'!CU111</f>
        <v>74326790.83000009</v>
      </c>
      <c r="CV111" s="14">
        <f t="shared" si="135"/>
        <v>0.30890739299728703</v>
      </c>
      <c r="CW111" s="10">
        <f>+'SECURED LOANS'!CA126+'RETAIL CREDIT'!CY108+'UNSECURED LOANS'!CZ108+'CAR FINANCE'!CW111</f>
        <v>10024</v>
      </c>
      <c r="CX111" s="14">
        <f t="shared" si="136"/>
        <v>0.22935590893490448</v>
      </c>
      <c r="CY111" s="34"/>
      <c r="CZ111" s="34"/>
    </row>
    <row r="112" spans="1:104" ht="12.75">
      <c r="A112" s="24">
        <v>2004</v>
      </c>
      <c r="B112" s="8"/>
      <c r="C112" s="8"/>
      <c r="D112" s="9"/>
      <c r="E112" s="14"/>
      <c r="F112" s="10"/>
      <c r="G112" s="14"/>
      <c r="H112" s="14"/>
      <c r="I112" s="9"/>
      <c r="J112" s="14"/>
      <c r="K112" s="10"/>
      <c r="L112" s="14"/>
      <c r="M112" s="56"/>
      <c r="N112" s="55"/>
      <c r="O112" s="56"/>
      <c r="P112" s="9"/>
      <c r="Q112" s="14"/>
      <c r="R112" s="10"/>
      <c r="S112" s="14"/>
      <c r="T112" s="56"/>
      <c r="U112" s="55"/>
      <c r="V112" s="56"/>
      <c r="W112" s="9"/>
      <c r="X112" s="14"/>
      <c r="Y112" s="10"/>
      <c r="Z112" s="14"/>
      <c r="AA112" s="56"/>
      <c r="AB112" s="55"/>
      <c r="AC112" s="56"/>
      <c r="AD112" s="34"/>
      <c r="AE112" s="9"/>
      <c r="AF112" s="14"/>
      <c r="AG112" s="10"/>
      <c r="AH112" s="14"/>
      <c r="AI112" s="56"/>
      <c r="AJ112" s="55"/>
      <c r="AK112" s="56"/>
      <c r="AL112" s="9"/>
      <c r="AM112" s="14"/>
      <c r="AN112" s="10"/>
      <c r="AO112" s="14"/>
      <c r="AP112" s="56"/>
      <c r="AQ112" s="55"/>
      <c r="AR112" s="56"/>
      <c r="AS112" s="9"/>
      <c r="AT112" s="14"/>
      <c r="AU112" s="10"/>
      <c r="AV112" s="14"/>
      <c r="AW112" s="56"/>
      <c r="AX112" s="55"/>
      <c r="AY112" s="56"/>
      <c r="AZ112" s="9"/>
      <c r="BA112" s="14"/>
      <c r="BB112" s="10"/>
      <c r="BC112" s="14"/>
      <c r="BD112" s="56"/>
      <c r="BE112" s="55"/>
      <c r="BF112" s="56"/>
      <c r="BG112" s="9"/>
      <c r="BH112" s="14"/>
      <c r="BI112" s="10"/>
      <c r="BJ112" s="14"/>
      <c r="BK112" s="56"/>
      <c r="BL112" s="55"/>
      <c r="BM112" s="56"/>
      <c r="BN112" s="9"/>
      <c r="BO112" s="14"/>
      <c r="BP112" s="10"/>
      <c r="BQ112" s="14"/>
      <c r="BR112" s="56"/>
      <c r="BS112" s="55"/>
      <c r="BT112" s="56"/>
      <c r="BU112" s="9"/>
      <c r="BV112" s="14"/>
      <c r="BW112" s="10"/>
      <c r="BX112" s="14"/>
      <c r="BY112" s="56"/>
      <c r="BZ112" s="55"/>
      <c r="CA112" s="56"/>
      <c r="CB112" s="9">
        <f>+'SECURED LOANS'!BJ127</f>
        <v>86635</v>
      </c>
      <c r="CC112" s="14">
        <f t="shared" si="129"/>
        <v>0.0003720850469169339</v>
      </c>
      <c r="CD112" s="10">
        <f>+'SECURED LOANS'!BL127</f>
        <v>11</v>
      </c>
      <c r="CE112" s="14">
        <f t="shared" si="130"/>
        <v>0.00020051770024426702</v>
      </c>
      <c r="CF112" s="56"/>
      <c r="CG112" s="55"/>
      <c r="CH112" s="56"/>
      <c r="CI112" s="9">
        <f>+'SECURED LOANS'!BO127+'CAR FINANCE'!CG112</f>
        <v>7190294.600000004</v>
      </c>
      <c r="CJ112" s="14">
        <f t="shared" si="131"/>
        <v>0.03216830981279277</v>
      </c>
      <c r="CK112" s="10">
        <f>+'SECURED LOANS'!BQ127+'CAR FINANCE'!CI112</f>
        <v>655</v>
      </c>
      <c r="CL112" s="14">
        <f t="shared" si="132"/>
        <v>0.013913671509898888</v>
      </c>
      <c r="CM112" s="56"/>
      <c r="CN112" s="55"/>
      <c r="CO112" s="9">
        <f>+'SECURED LOANS'!BT127+'CAR FINANCE'!CN112</f>
        <v>29256954.160000004</v>
      </c>
      <c r="CP112" s="14">
        <f t="shared" si="133"/>
        <v>0.137439632694192</v>
      </c>
      <c r="CQ112" s="10">
        <f>+'SECURED LOANS'!BV127+'CAR FINANCE'!CP112</f>
        <v>1610</v>
      </c>
      <c r="CR112" s="14">
        <f t="shared" si="134"/>
        <v>0.03999304468788037</v>
      </c>
      <c r="CS112" s="34"/>
      <c r="CT112" s="34"/>
      <c r="CU112" s="100">
        <f>+'SECURED LOANS'!BY127+'CAR FINANCE'!CU112+'RETAIL CREDIT'!CW109</f>
        <v>61873472.24000005</v>
      </c>
      <c r="CV112" s="14">
        <f t="shared" si="135"/>
        <v>0.2571505212577251</v>
      </c>
      <c r="CW112" s="10">
        <f>+'SECURED LOANS'!CA127+'CAR FINANCE'!CW112+'RETAIL CREDIT'!CY109</f>
        <v>6101</v>
      </c>
      <c r="CX112" s="14">
        <f t="shared" si="136"/>
        <v>0.13959501201235558</v>
      </c>
      <c r="CY112" s="34"/>
      <c r="CZ112" s="34"/>
    </row>
    <row r="113" spans="1:104" ht="12.75">
      <c r="A113" s="8"/>
      <c r="B113" s="8"/>
      <c r="C113" s="8"/>
      <c r="D113" s="9"/>
      <c r="E113" s="8"/>
      <c r="F113" s="10"/>
      <c r="G113" s="8"/>
      <c r="H113" s="8"/>
      <c r="I113" s="9"/>
      <c r="J113" s="8"/>
      <c r="K113" s="10"/>
      <c r="L113" s="8"/>
      <c r="M113" s="54"/>
      <c r="N113" s="55"/>
      <c r="O113" s="54"/>
      <c r="P113" s="9"/>
      <c r="Q113" s="8"/>
      <c r="R113" s="10"/>
      <c r="S113" s="8"/>
      <c r="T113" s="54"/>
      <c r="U113" s="55"/>
      <c r="V113" s="54"/>
      <c r="W113" s="9"/>
      <c r="X113" s="8"/>
      <c r="Y113" s="10"/>
      <c r="Z113" s="14"/>
      <c r="AA113" s="54"/>
      <c r="AB113" s="55"/>
      <c r="AC113" s="54"/>
      <c r="AD113" s="34"/>
      <c r="AE113" s="9"/>
      <c r="AF113" s="14"/>
      <c r="AG113" s="10"/>
      <c r="AH113" s="14"/>
      <c r="AI113" s="54"/>
      <c r="AJ113" s="55"/>
      <c r="AK113" s="54"/>
      <c r="AL113" s="9"/>
      <c r="AM113" s="14"/>
      <c r="AN113" s="10"/>
      <c r="AO113" s="14"/>
      <c r="AP113" s="54"/>
      <c r="AQ113" s="55"/>
      <c r="AR113" s="54"/>
      <c r="AS113" s="9"/>
      <c r="AT113" s="14"/>
      <c r="AU113" s="10"/>
      <c r="AV113" s="14"/>
      <c r="AW113" s="54"/>
      <c r="AX113" s="55"/>
      <c r="AY113" s="54"/>
      <c r="AZ113" s="9"/>
      <c r="BA113" s="14"/>
      <c r="BB113" s="10"/>
      <c r="BC113" s="14"/>
      <c r="BD113" s="54"/>
      <c r="BE113" s="55"/>
      <c r="BF113" s="54"/>
      <c r="BG113" s="9"/>
      <c r="BH113" s="14"/>
      <c r="BI113" s="10"/>
      <c r="BJ113" s="14"/>
      <c r="BK113" s="54"/>
      <c r="BL113" s="55"/>
      <c r="BM113" s="54"/>
      <c r="BN113" s="9"/>
      <c r="BO113" s="14"/>
      <c r="BP113" s="10"/>
      <c r="BQ113" s="14"/>
      <c r="BR113" s="54"/>
      <c r="BS113" s="55"/>
      <c r="BT113" s="54"/>
      <c r="BU113" s="9"/>
      <c r="BV113" s="14"/>
      <c r="BW113" s="10"/>
      <c r="BX113" s="14"/>
      <c r="BY113" s="54"/>
      <c r="BZ113" s="55"/>
      <c r="CA113" s="54"/>
      <c r="CB113" s="9"/>
      <c r="CC113" s="14"/>
      <c r="CD113" s="10"/>
      <c r="CE113" s="14"/>
      <c r="CF113" s="54"/>
      <c r="CG113" s="55"/>
      <c r="CH113" s="54"/>
      <c r="CI113" s="9"/>
      <c r="CJ113" s="14"/>
      <c r="CK113" s="10"/>
      <c r="CL113" s="14"/>
      <c r="CM113" s="54"/>
      <c r="CN113" s="55"/>
      <c r="CO113" s="9"/>
      <c r="CP113" s="14"/>
      <c r="CQ113" s="10"/>
      <c r="CR113" s="14"/>
      <c r="CS113" s="34"/>
      <c r="CT113" s="34"/>
      <c r="CU113" s="9"/>
      <c r="CV113" s="14"/>
      <c r="CW113" s="10"/>
      <c r="CX113" s="14"/>
      <c r="CY113" s="34"/>
      <c r="CZ113" s="34"/>
    </row>
    <row r="114" spans="1:104" ht="13.5" thickBot="1">
      <c r="A114" s="8"/>
      <c r="B114" s="8"/>
      <c r="C114" s="8"/>
      <c r="D114" s="21">
        <f>SUM(D104:D113)</f>
        <v>203798838.20000005</v>
      </c>
      <c r="E114" s="8"/>
      <c r="F114" s="22">
        <f>SUM(F104:F113)</f>
        <v>100970</v>
      </c>
      <c r="G114" s="8"/>
      <c r="H114" s="8"/>
      <c r="I114" s="21">
        <f>SUM(I104:I113)</f>
        <v>174725987.6</v>
      </c>
      <c r="J114" s="8"/>
      <c r="K114" s="22">
        <f>SUM(K104:K113)</f>
        <v>81454</v>
      </c>
      <c r="L114" s="8"/>
      <c r="M114" s="54"/>
      <c r="N114" s="31"/>
      <c r="O114" s="54"/>
      <c r="P114" s="21">
        <f>SUM(P104:P113)</f>
        <v>224992790.29000044</v>
      </c>
      <c r="Q114" s="8"/>
      <c r="R114" s="22">
        <f>SUM(R104:R113)</f>
        <v>89803</v>
      </c>
      <c r="S114" s="8"/>
      <c r="T114" s="54"/>
      <c r="U114" s="31"/>
      <c r="V114" s="54"/>
      <c r="W114" s="21">
        <f>SUM(W104:W113)</f>
        <v>235112271.3199998</v>
      </c>
      <c r="X114" s="8"/>
      <c r="Y114" s="22">
        <f>SUM(Y104:Y113)</f>
        <v>83372</v>
      </c>
      <c r="Z114" s="14"/>
      <c r="AA114" s="54"/>
      <c r="AB114" s="31"/>
      <c r="AC114" s="54"/>
      <c r="AD114" s="34"/>
      <c r="AE114" s="21">
        <f>SUM(AE104:AE113)</f>
        <v>232371380.87000006</v>
      </c>
      <c r="AF114" s="14"/>
      <c r="AG114" s="22">
        <f>SUM(AG104:AG113)</f>
        <v>76450</v>
      </c>
      <c r="AH114" s="14"/>
      <c r="AI114" s="54"/>
      <c r="AJ114" s="31"/>
      <c r="AK114" s="54"/>
      <c r="AL114" s="21">
        <f>SUM(AL104:AL113)</f>
        <v>228527846.31000012</v>
      </c>
      <c r="AM114" s="14"/>
      <c r="AN114" s="22">
        <f>SUM(AN104:AN113)</f>
        <v>74199</v>
      </c>
      <c r="AO114" s="14"/>
      <c r="AP114" s="54"/>
      <c r="AQ114" s="31"/>
      <c r="AR114" s="54"/>
      <c r="AS114" s="21">
        <f>SUM(AS104:AS113)</f>
        <v>225951584.05999997</v>
      </c>
      <c r="AT114" s="14"/>
      <c r="AU114" s="22">
        <f>SUM(AU104:AU113)</f>
        <v>70439</v>
      </c>
      <c r="AV114" s="14"/>
      <c r="AW114" s="54"/>
      <c r="AX114" s="31"/>
      <c r="AY114" s="54"/>
      <c r="AZ114" s="21">
        <f>SUM(AZ104:AZ113)</f>
        <v>264172516.93000016</v>
      </c>
      <c r="BA114" s="14"/>
      <c r="BB114" s="22">
        <f>SUM(BB104:BB113)</f>
        <v>73629</v>
      </c>
      <c r="BC114" s="14"/>
      <c r="BD114" s="54"/>
      <c r="BE114" s="31"/>
      <c r="BF114" s="54"/>
      <c r="BG114" s="21">
        <f>SUM(BG104:BG113)</f>
        <v>236615652.41000015</v>
      </c>
      <c r="BH114" s="14"/>
      <c r="BI114" s="22">
        <f>SUM(BI104:BI113)</f>
        <v>64537</v>
      </c>
      <c r="BJ114" s="14"/>
      <c r="BK114" s="54"/>
      <c r="BL114" s="31"/>
      <c r="BM114" s="54"/>
      <c r="BN114" s="21">
        <f>SUM(BN104:BN113)</f>
        <v>217109230.72000015</v>
      </c>
      <c r="BO114" s="14"/>
      <c r="BP114" s="22">
        <f>SUM(BP104:BP113)</f>
        <v>58151</v>
      </c>
      <c r="BQ114" s="14"/>
      <c r="BR114" s="54"/>
      <c r="BS114" s="31"/>
      <c r="BT114" s="54"/>
      <c r="BU114" s="21">
        <f>SUM(BU104:BU113)</f>
        <v>232085260.52999997</v>
      </c>
      <c r="BV114" s="14"/>
      <c r="BW114" s="22">
        <f>SUM(BW104:BW113)</f>
        <v>55837</v>
      </c>
      <c r="BX114" s="14"/>
      <c r="BY114" s="54"/>
      <c r="BZ114" s="31"/>
      <c r="CA114" s="54"/>
      <c r="CB114" s="21">
        <f>SUM(CB104:CB113)</f>
        <v>232836553.68</v>
      </c>
      <c r="CC114" s="14"/>
      <c r="CD114" s="22">
        <f>SUM(CD104:CD113)</f>
        <v>54858</v>
      </c>
      <c r="CE114" s="14"/>
      <c r="CF114" s="54"/>
      <c r="CG114" s="31"/>
      <c r="CH114" s="54"/>
      <c r="CI114" s="21">
        <f>SUM(CI104:CI113)</f>
        <v>223521056.65000004</v>
      </c>
      <c r="CJ114" s="14"/>
      <c r="CK114" s="22">
        <f>SUM(CK104:CK113)</f>
        <v>47076</v>
      </c>
      <c r="CL114" s="14"/>
      <c r="CM114" s="54"/>
      <c r="CN114" s="31"/>
      <c r="CO114" s="21">
        <f>SUM(CO104:CO113)</f>
        <v>212871306.37999997</v>
      </c>
      <c r="CP114" s="14"/>
      <c r="CQ114" s="22">
        <f>SUM(CQ104:CQ113)</f>
        <v>40257</v>
      </c>
      <c r="CR114" s="14"/>
      <c r="CS114" s="34"/>
      <c r="CT114" s="34"/>
      <c r="CU114" s="21">
        <f>SUM(CU104:CU113)</f>
        <v>240611887.30000016</v>
      </c>
      <c r="CV114" s="14"/>
      <c r="CW114" s="22">
        <f>SUM(CW104:CW113)</f>
        <v>43705</v>
      </c>
      <c r="CX114" s="14"/>
      <c r="CY114" s="34"/>
      <c r="CZ114" s="34"/>
    </row>
    <row r="115" spans="1:104" ht="13.5" thickTop="1">
      <c r="A115" s="8"/>
      <c r="B115" s="8"/>
      <c r="C115" s="8"/>
      <c r="D115" s="9"/>
      <c r="E115" s="8"/>
      <c r="F115" s="10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4"/>
      <c r="AA115" s="8"/>
      <c r="AB115" s="8"/>
      <c r="AC115" s="8"/>
      <c r="AD115" s="34"/>
      <c r="AE115" s="8"/>
      <c r="AF115" s="14"/>
      <c r="AG115" s="8"/>
      <c r="AH115" s="14"/>
      <c r="AI115" s="8"/>
      <c r="AJ115" s="8"/>
      <c r="AK115" s="8"/>
      <c r="AL115" s="8"/>
      <c r="AM115" s="14"/>
      <c r="AN115" s="8"/>
      <c r="AO115" s="14"/>
      <c r="AP115" s="8"/>
      <c r="AQ115" s="8"/>
      <c r="AR115" s="8"/>
      <c r="AS115" s="8"/>
      <c r="AT115" s="14"/>
      <c r="AU115" s="8"/>
      <c r="AV115" s="14"/>
      <c r="AW115" s="8"/>
      <c r="AX115" s="8"/>
      <c r="AY115" s="8"/>
      <c r="AZ115" s="8"/>
      <c r="BA115" s="14"/>
      <c r="BB115" s="8"/>
      <c r="BC115" s="14"/>
      <c r="BD115" s="8"/>
      <c r="BE115" s="8"/>
      <c r="BF115" s="8"/>
      <c r="BG115" s="8"/>
      <c r="BH115" s="14"/>
      <c r="BI115" s="8"/>
      <c r="BJ115" s="14"/>
      <c r="BK115" s="8"/>
      <c r="BL115" s="8"/>
      <c r="BM115" s="8"/>
      <c r="BN115" s="8"/>
      <c r="BO115" s="14"/>
      <c r="BP115" s="8"/>
      <c r="BQ115" s="14"/>
      <c r="BR115" s="8"/>
      <c r="BS115" s="8"/>
      <c r="BT115" s="8"/>
      <c r="BU115" s="8"/>
      <c r="BV115" s="14"/>
      <c r="BW115" s="8"/>
      <c r="BX115" s="14"/>
      <c r="BY115" s="8"/>
      <c r="BZ115" s="8"/>
      <c r="CA115" s="8"/>
      <c r="CB115" s="8"/>
      <c r="CC115" s="14"/>
      <c r="CD115" s="8"/>
      <c r="CE115" s="14"/>
      <c r="CF115" s="8"/>
      <c r="CG115" s="8"/>
      <c r="CH115" s="8"/>
      <c r="CI115" s="8"/>
      <c r="CJ115" s="14"/>
      <c r="CK115" s="8"/>
      <c r="CL115" s="14"/>
      <c r="CM115" s="8"/>
      <c r="CN115" s="8"/>
      <c r="CO115" s="9"/>
      <c r="CP115" s="14"/>
      <c r="CQ115" s="8"/>
      <c r="CR115" s="14"/>
      <c r="CS115" s="34"/>
      <c r="CT115" s="34"/>
      <c r="CU115" s="9"/>
      <c r="CV115" s="14"/>
      <c r="CW115" s="10"/>
      <c r="CX115" s="14"/>
      <c r="CY115" s="34"/>
      <c r="CZ115" s="34"/>
    </row>
    <row r="116" spans="1:104" ht="12.75">
      <c r="A116" s="12" t="s">
        <v>104</v>
      </c>
      <c r="B116" s="8"/>
      <c r="C116" s="8"/>
      <c r="D116" s="9"/>
      <c r="E116" s="8"/>
      <c r="F116" s="10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34"/>
      <c r="AE116" s="8"/>
      <c r="AF116" s="14"/>
      <c r="AG116" s="8"/>
      <c r="AH116" s="8"/>
      <c r="AI116" s="8"/>
      <c r="AJ116" s="8"/>
      <c r="AK116" s="8"/>
      <c r="AL116" s="8"/>
      <c r="AM116" s="14"/>
      <c r="AN116" s="8"/>
      <c r="AO116" s="8"/>
      <c r="AP116" s="8"/>
      <c r="AQ116" s="8"/>
      <c r="AR116" s="8"/>
      <c r="AS116" s="8"/>
      <c r="AT116" s="14"/>
      <c r="AU116" s="8"/>
      <c r="AV116" s="8"/>
      <c r="AW116" s="8"/>
      <c r="AX116" s="8"/>
      <c r="AY116" s="8"/>
      <c r="AZ116" s="8"/>
      <c r="BA116" s="14"/>
      <c r="BB116" s="8"/>
      <c r="BC116" s="14"/>
      <c r="BD116" s="8"/>
      <c r="BE116" s="8"/>
      <c r="BF116" s="8"/>
      <c r="BG116" s="8"/>
      <c r="BH116" s="14"/>
      <c r="BI116" s="8"/>
      <c r="BJ116" s="14"/>
      <c r="BK116" s="8"/>
      <c r="BL116" s="8"/>
      <c r="BM116" s="8"/>
      <c r="BN116" s="8"/>
      <c r="BO116" s="14"/>
      <c r="BP116" s="8"/>
      <c r="BQ116" s="14"/>
      <c r="BR116" s="8"/>
      <c r="BS116" s="8"/>
      <c r="BT116" s="8"/>
      <c r="BU116" s="8"/>
      <c r="BV116" s="14"/>
      <c r="BW116" s="8"/>
      <c r="BX116" s="14"/>
      <c r="BY116" s="8"/>
      <c r="BZ116" s="8"/>
      <c r="CA116" s="8"/>
      <c r="CB116" s="8"/>
      <c r="CC116" s="14"/>
      <c r="CD116" s="8"/>
      <c r="CE116" s="14"/>
      <c r="CF116" s="8"/>
      <c r="CG116" s="8"/>
      <c r="CH116" s="8"/>
      <c r="CI116" s="8"/>
      <c r="CJ116" s="14"/>
      <c r="CK116" s="8"/>
      <c r="CL116" s="14"/>
      <c r="CM116" s="8"/>
      <c r="CN116" s="8"/>
      <c r="CO116" s="9"/>
      <c r="CP116" s="14"/>
      <c r="CQ116" s="8"/>
      <c r="CR116" s="14"/>
      <c r="CS116" s="34"/>
      <c r="CT116" s="34"/>
      <c r="CU116" s="9"/>
      <c r="CV116" s="14"/>
      <c r="CW116" s="10"/>
      <c r="CX116" s="14"/>
      <c r="CY116" s="34"/>
      <c r="CZ116" s="34"/>
    </row>
    <row r="117" spans="1:104" ht="12.75">
      <c r="A117" s="12" t="s">
        <v>139</v>
      </c>
      <c r="B117" s="8"/>
      <c r="C117" s="8"/>
      <c r="D117" s="9"/>
      <c r="E117" s="8"/>
      <c r="F117" s="10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34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14"/>
      <c r="AU117" s="8"/>
      <c r="AV117" s="8"/>
      <c r="AW117" s="8"/>
      <c r="AX117" s="8"/>
      <c r="AY117" s="8"/>
      <c r="AZ117" s="8"/>
      <c r="BA117" s="8"/>
      <c r="BB117" s="8"/>
      <c r="BC117" s="14"/>
      <c r="BD117" s="8"/>
      <c r="BE117" s="8"/>
      <c r="BF117" s="8"/>
      <c r="BG117" s="8"/>
      <c r="BH117" s="8"/>
      <c r="BI117" s="8"/>
      <c r="BJ117" s="14"/>
      <c r="BK117" s="8"/>
      <c r="BL117" s="8"/>
      <c r="BM117" s="8"/>
      <c r="BN117" s="8"/>
      <c r="BO117" s="14"/>
      <c r="BP117" s="8"/>
      <c r="BQ117" s="14"/>
      <c r="BR117" s="8"/>
      <c r="BS117" s="8"/>
      <c r="BT117" s="8"/>
      <c r="BU117" s="8"/>
      <c r="BV117" s="14"/>
      <c r="BW117" s="8"/>
      <c r="BX117" s="14"/>
      <c r="BY117" s="8"/>
      <c r="BZ117" s="8"/>
      <c r="CA117" s="8"/>
      <c r="CB117" s="8"/>
      <c r="CC117" s="14"/>
      <c r="CD117" s="8"/>
      <c r="CE117" s="14"/>
      <c r="CF117" s="8"/>
      <c r="CG117" s="8"/>
      <c r="CH117" s="8"/>
      <c r="CI117" s="8"/>
      <c r="CJ117" s="14"/>
      <c r="CK117" s="8"/>
      <c r="CL117" s="14"/>
      <c r="CM117" s="8"/>
      <c r="CN117" s="8"/>
      <c r="CO117" s="9"/>
      <c r="CP117" s="14"/>
      <c r="CQ117" s="8"/>
      <c r="CR117" s="14"/>
      <c r="CS117" s="34"/>
      <c r="CT117" s="34"/>
      <c r="CU117" s="9"/>
      <c r="CV117" s="14"/>
      <c r="CW117" s="10"/>
      <c r="CX117" s="14"/>
      <c r="CY117" s="34"/>
      <c r="CZ117" s="34"/>
    </row>
    <row r="118" spans="1:104" ht="12.75">
      <c r="A118" s="12"/>
      <c r="B118" s="8"/>
      <c r="C118" s="8"/>
      <c r="D118" s="9"/>
      <c r="E118" s="9"/>
      <c r="F118" s="10"/>
      <c r="G118" s="9"/>
      <c r="H118" s="9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34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14"/>
      <c r="AU118" s="8"/>
      <c r="AV118" s="8"/>
      <c r="AW118" s="8"/>
      <c r="AX118" s="8"/>
      <c r="AY118" s="8"/>
      <c r="AZ118" s="8"/>
      <c r="BA118" s="8"/>
      <c r="BB118" s="8"/>
      <c r="BC118" s="14"/>
      <c r="BD118" s="8"/>
      <c r="BE118" s="8"/>
      <c r="BF118" s="8"/>
      <c r="BG118" s="8"/>
      <c r="BH118" s="8"/>
      <c r="BI118" s="8"/>
      <c r="BJ118" s="14"/>
      <c r="BK118" s="8"/>
      <c r="BL118" s="8"/>
      <c r="BM118" s="8"/>
      <c r="BN118" s="8"/>
      <c r="BO118" s="14"/>
      <c r="BP118" s="8"/>
      <c r="BQ118" s="14"/>
      <c r="BR118" s="8"/>
      <c r="BS118" s="8"/>
      <c r="BT118" s="8"/>
      <c r="BU118" s="8"/>
      <c r="BV118" s="14"/>
      <c r="BW118" s="8"/>
      <c r="BX118" s="14"/>
      <c r="BY118" s="8"/>
      <c r="BZ118" s="8"/>
      <c r="CA118" s="8"/>
      <c r="CB118" s="8"/>
      <c r="CC118" s="14"/>
      <c r="CD118" s="8"/>
      <c r="CE118" s="14"/>
      <c r="CF118" s="8"/>
      <c r="CG118" s="8"/>
      <c r="CH118" s="8"/>
      <c r="CI118" s="8"/>
      <c r="CJ118" s="14"/>
      <c r="CK118" s="8"/>
      <c r="CL118" s="14"/>
      <c r="CM118" s="8"/>
      <c r="CN118" s="8"/>
      <c r="CO118" s="9"/>
      <c r="CP118" s="14"/>
      <c r="CQ118" s="8"/>
      <c r="CR118" s="14"/>
      <c r="CS118" s="34"/>
      <c r="CT118" s="34"/>
      <c r="CU118" s="9"/>
      <c r="CV118" s="14"/>
      <c r="CW118" s="10"/>
      <c r="CX118" s="14"/>
      <c r="CY118" s="34"/>
      <c r="CZ118" s="34"/>
    </row>
    <row r="119" spans="1:102" ht="12.75">
      <c r="A119" s="8"/>
      <c r="B119" s="8"/>
      <c r="C119" s="8"/>
      <c r="D119" s="9"/>
      <c r="E119" s="8"/>
      <c r="F119" s="10"/>
      <c r="G119" s="8"/>
      <c r="H119" s="8"/>
      <c r="AT119" s="93"/>
      <c r="BC119" s="93"/>
      <c r="BJ119" s="93"/>
      <c r="BO119" s="93"/>
      <c r="BQ119" s="93"/>
      <c r="BV119" s="93"/>
      <c r="BX119" s="93"/>
      <c r="CC119" s="93"/>
      <c r="CE119" s="93"/>
      <c r="CJ119" s="93"/>
      <c r="CL119" s="93"/>
      <c r="CO119" s="2"/>
      <c r="CP119" s="93"/>
      <c r="CR119" s="93"/>
      <c r="CV119" s="93"/>
      <c r="CW119" s="3"/>
      <c r="CX119" s="93"/>
    </row>
    <row r="120" spans="1:102" s="1" customFormat="1" ht="12.75">
      <c r="A120"/>
      <c r="D120" s="5"/>
      <c r="E120" s="6"/>
      <c r="F120" s="4"/>
      <c r="G120" s="6"/>
      <c r="H120" s="6"/>
      <c r="AT120" s="6"/>
      <c r="BC120" s="6"/>
      <c r="BJ120" s="6"/>
      <c r="BO120" s="6"/>
      <c r="BQ120" s="6"/>
      <c r="BV120" s="6"/>
      <c r="BX120" s="6"/>
      <c r="CC120" s="6"/>
      <c r="CE120" s="6"/>
      <c r="CJ120" s="6"/>
      <c r="CL120" s="6"/>
      <c r="CO120" s="5"/>
      <c r="CP120" s="6"/>
      <c r="CR120" s="6"/>
      <c r="CV120" s="6"/>
      <c r="CW120" s="4"/>
      <c r="CX120" s="6"/>
    </row>
    <row r="121" spans="1:102" ht="12.75">
      <c r="A121" s="1"/>
      <c r="AT121" s="93"/>
      <c r="BC121" s="93"/>
      <c r="BJ121" s="93"/>
      <c r="BO121" s="93"/>
      <c r="BQ121" s="93"/>
      <c r="BV121" s="93"/>
      <c r="BX121" s="93"/>
      <c r="CC121" s="93"/>
      <c r="CE121" s="93"/>
      <c r="CJ121" s="93"/>
      <c r="CL121" s="93"/>
      <c r="CO121" s="2"/>
      <c r="CP121" s="93"/>
      <c r="CR121" s="93"/>
      <c r="CV121" s="93"/>
      <c r="CW121" s="3"/>
      <c r="CX121" s="93"/>
    </row>
    <row r="122" spans="55:102" ht="12.75">
      <c r="BC122" s="93"/>
      <c r="BJ122" s="93"/>
      <c r="BO122" s="93"/>
      <c r="BQ122" s="93"/>
      <c r="BV122" s="93"/>
      <c r="BX122" s="93"/>
      <c r="CC122" s="93"/>
      <c r="CE122" s="93"/>
      <c r="CJ122" s="93"/>
      <c r="CL122" s="93"/>
      <c r="CO122" s="2"/>
      <c r="CP122" s="93"/>
      <c r="CR122" s="93"/>
      <c r="CV122" s="93"/>
      <c r="CW122" s="3"/>
      <c r="CX122" s="93"/>
    </row>
    <row r="123" spans="55:102" ht="12.75">
      <c r="BC123" s="93"/>
      <c r="BJ123" s="93"/>
      <c r="BO123" s="93"/>
      <c r="BQ123" s="93"/>
      <c r="BV123" s="93"/>
      <c r="BX123" s="93"/>
      <c r="CC123" s="93"/>
      <c r="CE123" s="93"/>
      <c r="CJ123" s="93"/>
      <c r="CL123" s="93"/>
      <c r="CO123" s="2"/>
      <c r="CP123" s="93"/>
      <c r="CR123" s="93"/>
      <c r="CV123" s="93"/>
      <c r="CW123" s="3"/>
      <c r="CX123" s="93"/>
    </row>
    <row r="124" spans="55:102" ht="12.75">
      <c r="BC124" s="93"/>
      <c r="BJ124" s="93"/>
      <c r="BO124" s="93"/>
      <c r="BQ124" s="93"/>
      <c r="BV124" s="93"/>
      <c r="BX124" s="93"/>
      <c r="CC124" s="93"/>
      <c r="CE124" s="93"/>
      <c r="CJ124" s="93"/>
      <c r="CL124" s="93"/>
      <c r="CO124" s="2"/>
      <c r="CP124" s="93"/>
      <c r="CR124" s="93"/>
      <c r="CV124" s="93"/>
      <c r="CW124" s="3"/>
      <c r="CX124" s="93"/>
    </row>
    <row r="125" spans="55:102" ht="12.75">
      <c r="BC125" s="93"/>
      <c r="BJ125" s="93"/>
      <c r="BO125" s="93"/>
      <c r="BQ125" s="93"/>
      <c r="BV125" s="93"/>
      <c r="BX125" s="93"/>
      <c r="CC125" s="93"/>
      <c r="CE125" s="93"/>
      <c r="CJ125" s="93"/>
      <c r="CL125" s="93"/>
      <c r="CO125" s="2"/>
      <c r="CP125" s="93"/>
      <c r="CR125" s="93"/>
      <c r="CV125" s="93"/>
      <c r="CW125" s="3"/>
      <c r="CX125" s="93"/>
    </row>
    <row r="126" spans="55:90" ht="12.75">
      <c r="BC126" s="93"/>
      <c r="BJ126" s="93"/>
      <c r="BO126" s="93"/>
      <c r="BQ126" s="93"/>
      <c r="BV126" s="93"/>
      <c r="BX126" s="93"/>
      <c r="CC126" s="93"/>
      <c r="CE126" s="93"/>
      <c r="CJ126" s="93"/>
      <c r="CL126" s="93"/>
    </row>
    <row r="127" spans="55:90" ht="12.75">
      <c r="BC127" s="93"/>
      <c r="BJ127" s="93"/>
      <c r="BO127" s="93"/>
      <c r="BQ127" s="93"/>
      <c r="BV127" s="93"/>
      <c r="BX127" s="93"/>
      <c r="CC127" s="93"/>
      <c r="CE127" s="93"/>
      <c r="CJ127" s="93"/>
      <c r="CL127" s="93"/>
    </row>
    <row r="128" spans="55:90" ht="12.75">
      <c r="BC128" s="93"/>
      <c r="BJ128" s="93"/>
      <c r="BO128" s="93"/>
      <c r="BQ128" s="93"/>
      <c r="BV128" s="93"/>
      <c r="BX128" s="93"/>
      <c r="CC128" s="93"/>
      <c r="CE128" s="93"/>
      <c r="CJ128" s="93"/>
      <c r="CL128" s="93"/>
    </row>
    <row r="129" spans="55:90" ht="12.75">
      <c r="BC129" s="93"/>
      <c r="BJ129" s="93"/>
      <c r="BO129" s="93"/>
      <c r="BQ129" s="93"/>
      <c r="BV129" s="93"/>
      <c r="BX129" s="93"/>
      <c r="CC129" s="93"/>
      <c r="CE129" s="93"/>
      <c r="CJ129" s="93"/>
      <c r="CL129" s="93"/>
    </row>
    <row r="130" spans="55:90" ht="12.75">
      <c r="BC130" s="93"/>
      <c r="BJ130" s="93"/>
      <c r="BO130" s="93"/>
      <c r="BQ130" s="93"/>
      <c r="BV130" s="93"/>
      <c r="BX130" s="93"/>
      <c r="CC130" s="93"/>
      <c r="CE130" s="93"/>
      <c r="CJ130" s="93"/>
      <c r="CL130" s="93"/>
    </row>
    <row r="131" spans="55:90" ht="12.75">
      <c r="BC131" s="93"/>
      <c r="BJ131" s="93"/>
      <c r="BO131" s="93"/>
      <c r="BQ131" s="93"/>
      <c r="BV131" s="93"/>
      <c r="BX131" s="93"/>
      <c r="CC131" s="93"/>
      <c r="CE131" s="93"/>
      <c r="CJ131" s="93"/>
      <c r="CL131" s="93"/>
    </row>
    <row r="132" spans="55:90" ht="12.75">
      <c r="BC132" s="93"/>
      <c r="BJ132" s="93"/>
      <c r="BO132" s="93"/>
      <c r="BQ132" s="93"/>
      <c r="BV132" s="93"/>
      <c r="BX132" s="93"/>
      <c r="CC132" s="93"/>
      <c r="CE132" s="93"/>
      <c r="CJ132" s="93"/>
      <c r="CL132" s="93"/>
    </row>
    <row r="133" spans="55:90" ht="12.75">
      <c r="BC133" s="93"/>
      <c r="BJ133" s="93"/>
      <c r="BO133" s="93"/>
      <c r="BQ133" s="93"/>
      <c r="BV133" s="93"/>
      <c r="BX133" s="93"/>
      <c r="CC133" s="93"/>
      <c r="CE133" s="93"/>
      <c r="CJ133" s="93"/>
      <c r="CL133" s="93"/>
    </row>
    <row r="134" spans="55:90" ht="12.75">
      <c r="BC134" s="93"/>
      <c r="BJ134" s="93"/>
      <c r="BO134" s="93"/>
      <c r="BQ134" s="93"/>
      <c r="BV134" s="93"/>
      <c r="BX134" s="93"/>
      <c r="CC134" s="93"/>
      <c r="CE134" s="93"/>
      <c r="CJ134" s="93"/>
      <c r="CL134" s="93"/>
    </row>
    <row r="135" spans="55:90" ht="12.75">
      <c r="BC135" s="93"/>
      <c r="BJ135" s="93"/>
      <c r="BO135" s="93"/>
      <c r="BQ135" s="93"/>
      <c r="BV135" s="93"/>
      <c r="BX135" s="93"/>
      <c r="CC135" s="93"/>
      <c r="CE135" s="93"/>
      <c r="CJ135" s="93"/>
      <c r="CL135" s="93"/>
    </row>
    <row r="136" spans="55:90" ht="12.75">
      <c r="BC136" s="93"/>
      <c r="BJ136" s="93"/>
      <c r="BO136" s="93"/>
      <c r="BQ136" s="93"/>
      <c r="BV136" s="93"/>
      <c r="BX136" s="93"/>
      <c r="CC136" s="93"/>
      <c r="CE136" s="93"/>
      <c r="CJ136" s="93"/>
      <c r="CL136" s="93"/>
    </row>
    <row r="137" spans="55:90" ht="12.75">
      <c r="BC137" s="93"/>
      <c r="BJ137" s="93"/>
      <c r="BO137" s="93"/>
      <c r="BQ137" s="93"/>
      <c r="BV137" s="93"/>
      <c r="BX137" s="93"/>
      <c r="CC137" s="93"/>
      <c r="CE137" s="93"/>
      <c r="CJ137" s="93"/>
      <c r="CL137" s="93"/>
    </row>
    <row r="138" spans="55:69" ht="12.75">
      <c r="BC138" s="93"/>
      <c r="BJ138" s="93"/>
      <c r="BO138" s="93"/>
      <c r="BQ138" s="93"/>
    </row>
  </sheetData>
  <mergeCells count="30">
    <mergeCell ref="CO1:CR1"/>
    <mergeCell ref="CO3:CR3"/>
    <mergeCell ref="BN1:BS1"/>
    <mergeCell ref="BN3:BS3"/>
    <mergeCell ref="AZ1:BE1"/>
    <mergeCell ref="AZ3:BE3"/>
    <mergeCell ref="AL1:AQ1"/>
    <mergeCell ref="AL3:AQ3"/>
    <mergeCell ref="AS1:AX1"/>
    <mergeCell ref="AS3:AX3"/>
    <mergeCell ref="BU1:BZ1"/>
    <mergeCell ref="BU3:BZ3"/>
    <mergeCell ref="A1:G1"/>
    <mergeCell ref="A3:G3"/>
    <mergeCell ref="I1:O1"/>
    <mergeCell ref="I3:O3"/>
    <mergeCell ref="AE1:AK1"/>
    <mergeCell ref="AE3:AK3"/>
    <mergeCell ref="BG1:BL1"/>
    <mergeCell ref="BG3:BL3"/>
    <mergeCell ref="CU1:CX1"/>
    <mergeCell ref="CU3:CX3"/>
    <mergeCell ref="P1:V1"/>
    <mergeCell ref="P3:V3"/>
    <mergeCell ref="CI1:CN1"/>
    <mergeCell ref="CI3:CN3"/>
    <mergeCell ref="CB1:CG1"/>
    <mergeCell ref="CB3:CG3"/>
    <mergeCell ref="W1:AC1"/>
    <mergeCell ref="W3:AC3"/>
  </mergeCells>
  <printOptions/>
  <pageMargins left="0" right="0" top="0" bottom="0" header="0.5118110236220472" footer="0.5118110236220472"/>
  <pageSetup horizontalDpi="600" verticalDpi="600" orientation="landscape" paperSize="9" scale="20" r:id="rId1"/>
  <colBreaks count="3" manualBreakCount="3">
    <brk id="22" max="117" man="1"/>
    <brk id="43" max="117" man="1"/>
    <brk id="64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157"/>
  <sheetViews>
    <sheetView view="pageBreakPreview" zoomScale="60" workbookViewId="0" topLeftCell="BW1">
      <selection activeCell="BY1" sqref="BY1:CC1"/>
    </sheetView>
  </sheetViews>
  <sheetFormatPr defaultColWidth="9.140625" defaultRowHeight="12.75"/>
  <cols>
    <col min="1" max="1" width="24.7109375" style="0" customWidth="1"/>
    <col min="3" max="3" width="16.57421875" style="0" customWidth="1"/>
    <col min="4" max="4" width="24.7109375" style="2" customWidth="1"/>
    <col min="5" max="5" width="12.8515625" style="0" customWidth="1"/>
    <col min="6" max="6" width="12.57421875" style="3" bestFit="1" customWidth="1"/>
    <col min="7" max="7" width="13.7109375" style="0" customWidth="1"/>
    <col min="10" max="10" width="42.57421875" style="0" customWidth="1"/>
    <col min="11" max="11" width="16.28125" style="0" customWidth="1"/>
    <col min="12" max="12" width="14.140625" style="0" customWidth="1"/>
    <col min="13" max="13" width="13.8515625" style="34" customWidth="1"/>
    <col min="14" max="14" width="14.140625" style="0" customWidth="1"/>
    <col min="15" max="15" width="17.8515625" style="0" customWidth="1"/>
    <col min="16" max="16" width="9.140625" style="0" hidden="1" customWidth="1"/>
    <col min="17" max="17" width="40.28125" style="0" customWidth="1"/>
    <col min="18" max="18" width="16.421875" style="0" customWidth="1"/>
    <col min="19" max="20" width="14.57421875" style="0" customWidth="1"/>
    <col min="21" max="21" width="19.57421875" style="0" customWidth="1"/>
    <col min="22" max="22" width="37.421875" style="0" customWidth="1"/>
    <col min="23" max="23" width="22.00390625" style="0" customWidth="1"/>
    <col min="24" max="24" width="14.57421875" style="0" customWidth="1"/>
    <col min="25" max="25" width="16.28125" style="0" customWidth="1"/>
    <col min="26" max="26" width="25.8515625" style="0" customWidth="1"/>
    <col min="27" max="27" width="30.28125" style="0" customWidth="1"/>
    <col min="28" max="28" width="21.28125" style="0" customWidth="1"/>
    <col min="29" max="29" width="15.140625" style="0" customWidth="1"/>
    <col min="30" max="30" width="18.421875" style="0" customWidth="1"/>
    <col min="31" max="31" width="22.140625" style="0" customWidth="1"/>
    <col min="32" max="32" width="31.7109375" style="0" customWidth="1"/>
    <col min="33" max="33" width="18.00390625" style="0" customWidth="1"/>
    <col min="34" max="34" width="17.7109375" style="0" customWidth="1"/>
    <col min="35" max="36" width="17.421875" style="0" customWidth="1"/>
    <col min="37" max="37" width="42.00390625" style="0" customWidth="1"/>
    <col min="38" max="38" width="19.28125" style="0" customWidth="1"/>
    <col min="39" max="40" width="16.7109375" style="0" customWidth="1"/>
    <col min="41" max="41" width="16.00390625" style="0" customWidth="1"/>
    <col min="42" max="42" width="28.421875" style="0" customWidth="1"/>
    <col min="43" max="43" width="25.28125" style="0" customWidth="1"/>
    <col min="44" max="44" width="16.57421875" style="0" customWidth="1"/>
    <col min="45" max="45" width="17.421875" style="0" customWidth="1"/>
    <col min="46" max="46" width="19.140625" style="0" customWidth="1"/>
    <col min="47" max="47" width="29.28125" style="0" customWidth="1"/>
    <col min="48" max="48" width="24.57421875" style="0" customWidth="1"/>
    <col min="49" max="49" width="18.421875" style="0" customWidth="1"/>
    <col min="50" max="50" width="16.28125" style="0" customWidth="1"/>
    <col min="51" max="51" width="17.00390625" style="0" customWidth="1"/>
    <col min="52" max="52" width="25.28125" style="0" customWidth="1"/>
    <col min="53" max="53" width="23.00390625" style="0" customWidth="1"/>
    <col min="54" max="54" width="22.00390625" style="0" customWidth="1"/>
    <col min="55" max="55" width="17.57421875" style="0" customWidth="1"/>
    <col min="56" max="56" width="14.8515625" style="0" customWidth="1"/>
    <col min="57" max="57" width="38.7109375" style="0" customWidth="1"/>
    <col min="58" max="58" width="21.8515625" style="0" customWidth="1"/>
    <col min="59" max="59" width="18.8515625" style="0" customWidth="1"/>
    <col min="60" max="60" width="17.28125" style="0" customWidth="1"/>
    <col min="62" max="62" width="39.140625" style="0" customWidth="1"/>
    <col min="63" max="63" width="22.57421875" style="0" customWidth="1"/>
    <col min="64" max="64" width="21.00390625" style="0" customWidth="1"/>
    <col min="65" max="65" width="19.7109375" style="0" customWidth="1"/>
    <col min="66" max="66" width="14.57421875" style="0" customWidth="1"/>
    <col min="67" max="67" width="33.140625" style="0" customWidth="1"/>
    <col min="68" max="68" width="18.8515625" style="0" customWidth="1"/>
    <col min="69" max="69" width="19.00390625" style="0" customWidth="1"/>
    <col min="70" max="70" width="20.8515625" style="0" customWidth="1"/>
    <col min="71" max="71" width="14.421875" style="0" customWidth="1"/>
    <col min="72" max="72" width="26.28125" style="0" customWidth="1"/>
    <col min="73" max="73" width="20.57421875" style="0" customWidth="1"/>
    <col min="74" max="74" width="19.140625" style="0" customWidth="1"/>
    <col min="75" max="75" width="22.140625" style="0" customWidth="1"/>
    <col min="76" max="76" width="17.00390625" style="0" customWidth="1"/>
    <col min="77" max="77" width="40.28125" style="0" customWidth="1"/>
    <col min="78" max="78" width="20.140625" style="0" customWidth="1"/>
    <col min="79" max="79" width="14.140625" style="0" bestFit="1" customWidth="1"/>
    <col min="80" max="81" width="15.57421875" style="0" customWidth="1"/>
  </cols>
  <sheetData>
    <row r="1" spans="1:81" ht="33.75">
      <c r="A1" s="101" t="s">
        <v>106</v>
      </c>
      <c r="B1" s="101"/>
      <c r="C1" s="101"/>
      <c r="D1" s="101"/>
      <c r="E1" s="101"/>
      <c r="F1" s="101"/>
      <c r="G1" s="101"/>
      <c r="H1" s="8"/>
      <c r="I1" s="8"/>
      <c r="J1" s="101" t="s">
        <v>106</v>
      </c>
      <c r="K1" s="101"/>
      <c r="L1" s="101"/>
      <c r="M1" s="101"/>
      <c r="N1" s="101"/>
      <c r="O1" s="101"/>
      <c r="P1" s="101"/>
      <c r="Q1" s="101" t="s">
        <v>106</v>
      </c>
      <c r="R1" s="101"/>
      <c r="S1" s="101"/>
      <c r="T1" s="101"/>
      <c r="U1" s="101"/>
      <c r="V1" s="101" t="s">
        <v>106</v>
      </c>
      <c r="W1" s="101"/>
      <c r="X1" s="101"/>
      <c r="Y1" s="101"/>
      <c r="Z1" s="101"/>
      <c r="AA1" s="101" t="s">
        <v>106</v>
      </c>
      <c r="AB1" s="101"/>
      <c r="AC1" s="101"/>
      <c r="AD1" s="101"/>
      <c r="AE1" s="101"/>
      <c r="AF1" s="101" t="s">
        <v>106</v>
      </c>
      <c r="AG1" s="101"/>
      <c r="AH1" s="101"/>
      <c r="AI1" s="101"/>
      <c r="AJ1" s="101"/>
      <c r="AK1" s="101" t="s">
        <v>106</v>
      </c>
      <c r="AL1" s="101"/>
      <c r="AM1" s="101"/>
      <c r="AN1" s="101"/>
      <c r="AO1" s="101"/>
      <c r="AP1" s="101" t="s">
        <v>106</v>
      </c>
      <c r="AQ1" s="101"/>
      <c r="AR1" s="101"/>
      <c r="AS1" s="101"/>
      <c r="AT1" s="101"/>
      <c r="AU1" s="101" t="s">
        <v>106</v>
      </c>
      <c r="AV1" s="101"/>
      <c r="AW1" s="101"/>
      <c r="AX1" s="101"/>
      <c r="AY1" s="101"/>
      <c r="AZ1" s="101" t="s">
        <v>106</v>
      </c>
      <c r="BA1" s="101"/>
      <c r="BB1" s="101"/>
      <c r="BC1" s="101"/>
      <c r="BD1" s="101"/>
      <c r="BE1" s="101" t="s">
        <v>106</v>
      </c>
      <c r="BF1" s="101"/>
      <c r="BG1" s="101"/>
      <c r="BH1" s="101"/>
      <c r="BI1" s="101"/>
      <c r="BJ1" s="101" t="s">
        <v>106</v>
      </c>
      <c r="BK1" s="101"/>
      <c r="BL1" s="101"/>
      <c r="BM1" s="101"/>
      <c r="BN1" s="101"/>
      <c r="BO1" s="101" t="s">
        <v>106</v>
      </c>
      <c r="BP1" s="101"/>
      <c r="BQ1" s="101"/>
      <c r="BR1" s="101"/>
      <c r="BS1" s="101"/>
      <c r="BT1" s="101" t="s">
        <v>106</v>
      </c>
      <c r="BU1" s="101"/>
      <c r="BV1" s="101"/>
      <c r="BW1" s="101"/>
      <c r="BX1" s="101"/>
      <c r="BY1" s="101" t="s">
        <v>106</v>
      </c>
      <c r="BZ1" s="101"/>
      <c r="CA1" s="101"/>
      <c r="CB1" s="101"/>
      <c r="CC1" s="101"/>
    </row>
    <row r="2" spans="1:81" ht="12.75">
      <c r="A2" s="8"/>
      <c r="B2" s="8"/>
      <c r="C2" s="8"/>
      <c r="D2" s="9"/>
      <c r="E2" s="8"/>
      <c r="F2" s="10"/>
      <c r="G2" s="8"/>
      <c r="H2" s="8"/>
      <c r="I2" s="8"/>
      <c r="J2" s="54"/>
      <c r="K2" s="54"/>
      <c r="L2" s="54"/>
      <c r="M2" s="63"/>
      <c r="N2" s="54"/>
      <c r="O2" s="55"/>
      <c r="P2" s="54"/>
      <c r="Q2" s="54"/>
      <c r="R2" s="54"/>
      <c r="S2" s="54"/>
      <c r="T2" s="63"/>
      <c r="U2" s="54"/>
      <c r="V2" s="54"/>
      <c r="W2" s="54"/>
      <c r="X2" s="54"/>
      <c r="Y2" s="63"/>
      <c r="Z2" s="54"/>
      <c r="AA2" s="54"/>
      <c r="AB2" s="54"/>
      <c r="AC2" s="54"/>
      <c r="AD2" s="63"/>
      <c r="AE2" s="54"/>
      <c r="AF2" s="54"/>
      <c r="AG2" s="54"/>
      <c r="AH2" s="54"/>
      <c r="AI2" s="63"/>
      <c r="AJ2" s="54"/>
      <c r="AK2" s="54"/>
      <c r="AL2" s="54"/>
      <c r="AM2" s="54"/>
      <c r="AN2" s="63"/>
      <c r="AO2" s="54"/>
      <c r="AP2" s="54"/>
      <c r="AQ2" s="54"/>
      <c r="AR2" s="54"/>
      <c r="AS2" s="63"/>
      <c r="AT2" s="54"/>
      <c r="AU2" s="54"/>
      <c r="AV2" s="54"/>
      <c r="AW2" s="54"/>
      <c r="AX2" s="63"/>
      <c r="AY2" s="54"/>
      <c r="AZ2" s="54"/>
      <c r="BA2" s="54"/>
      <c r="BB2" s="54"/>
      <c r="BC2" s="63"/>
      <c r="BD2" s="54"/>
      <c r="BE2" s="54"/>
      <c r="BF2" s="54"/>
      <c r="BG2" s="54"/>
      <c r="BH2" s="63"/>
      <c r="BI2" s="54"/>
      <c r="BJ2" s="54"/>
      <c r="BK2" s="54"/>
      <c r="BL2" s="54"/>
      <c r="BM2" s="63"/>
      <c r="BN2" s="54"/>
      <c r="BO2" s="54"/>
      <c r="BP2" s="54"/>
      <c r="BQ2" s="54"/>
      <c r="BR2" s="63"/>
      <c r="BS2" s="54"/>
      <c r="BT2" s="54"/>
      <c r="BU2" s="54"/>
      <c r="BV2" s="54"/>
      <c r="BW2" s="63"/>
      <c r="BX2" s="54"/>
      <c r="BY2" s="54"/>
      <c r="BZ2" s="54"/>
      <c r="CA2" s="54"/>
      <c r="CB2" s="63"/>
      <c r="CC2" s="54"/>
    </row>
    <row r="3" spans="1:81" ht="18">
      <c r="A3" s="102" t="s">
        <v>98</v>
      </c>
      <c r="B3" s="102"/>
      <c r="C3" s="102"/>
      <c r="D3" s="102"/>
      <c r="E3" s="102"/>
      <c r="F3" s="102"/>
      <c r="G3" s="102"/>
      <c r="H3" s="8"/>
      <c r="I3" s="8"/>
      <c r="J3" s="102" t="s">
        <v>142</v>
      </c>
      <c r="K3" s="102"/>
      <c r="L3" s="102"/>
      <c r="M3" s="102"/>
      <c r="N3" s="102"/>
      <c r="O3" s="102"/>
      <c r="P3" s="102"/>
      <c r="Q3" s="102" t="s">
        <v>145</v>
      </c>
      <c r="R3" s="102"/>
      <c r="S3" s="102"/>
      <c r="T3" s="102"/>
      <c r="U3" s="102"/>
      <c r="V3" s="102" t="s">
        <v>146</v>
      </c>
      <c r="W3" s="102"/>
      <c r="X3" s="102"/>
      <c r="Y3" s="102"/>
      <c r="Z3" s="102"/>
      <c r="AA3" s="102" t="s">
        <v>148</v>
      </c>
      <c r="AB3" s="102"/>
      <c r="AC3" s="102"/>
      <c r="AD3" s="102"/>
      <c r="AE3" s="102"/>
      <c r="AF3" s="102" t="s">
        <v>150</v>
      </c>
      <c r="AG3" s="102"/>
      <c r="AH3" s="102"/>
      <c r="AI3" s="102"/>
      <c r="AJ3" s="102"/>
      <c r="AK3" s="102" t="s">
        <v>153</v>
      </c>
      <c r="AL3" s="102"/>
      <c r="AM3" s="102"/>
      <c r="AN3" s="102"/>
      <c r="AO3" s="102"/>
      <c r="AP3" s="102" t="s">
        <v>156</v>
      </c>
      <c r="AQ3" s="102"/>
      <c r="AR3" s="102"/>
      <c r="AS3" s="102"/>
      <c r="AT3" s="102"/>
      <c r="AU3" s="102" t="s">
        <v>159</v>
      </c>
      <c r="AV3" s="102"/>
      <c r="AW3" s="102"/>
      <c r="AX3" s="102"/>
      <c r="AY3" s="102"/>
      <c r="AZ3" s="102" t="s">
        <v>164</v>
      </c>
      <c r="BA3" s="102"/>
      <c r="BB3" s="102"/>
      <c r="BC3" s="102"/>
      <c r="BD3" s="102"/>
      <c r="BE3" s="102" t="s">
        <v>168</v>
      </c>
      <c r="BF3" s="102"/>
      <c r="BG3" s="102"/>
      <c r="BH3" s="102"/>
      <c r="BI3" s="102"/>
      <c r="BJ3" s="102" t="s">
        <v>169</v>
      </c>
      <c r="BK3" s="102"/>
      <c r="BL3" s="102"/>
      <c r="BM3" s="102"/>
      <c r="BN3" s="102"/>
      <c r="BO3" s="102" t="s">
        <v>172</v>
      </c>
      <c r="BP3" s="102"/>
      <c r="BQ3" s="102"/>
      <c r="BR3" s="102"/>
      <c r="BS3" s="102"/>
      <c r="BT3" s="102" t="s">
        <v>175</v>
      </c>
      <c r="BU3" s="102"/>
      <c r="BV3" s="102"/>
      <c r="BW3" s="102"/>
      <c r="BX3" s="102"/>
      <c r="BY3" s="102" t="s">
        <v>182</v>
      </c>
      <c r="BZ3" s="102"/>
      <c r="CA3" s="102"/>
      <c r="CB3" s="102"/>
      <c r="CC3" s="102"/>
    </row>
    <row r="4" spans="1:81" ht="18">
      <c r="A4" s="8"/>
      <c r="B4" s="8"/>
      <c r="C4" s="8"/>
      <c r="D4" s="9"/>
      <c r="E4" s="8"/>
      <c r="F4" s="10"/>
      <c r="G4" s="8"/>
      <c r="H4" s="8"/>
      <c r="I4" s="8"/>
      <c r="J4" s="8"/>
      <c r="K4" s="58" t="s">
        <v>143</v>
      </c>
      <c r="L4" s="8"/>
      <c r="M4" s="9"/>
      <c r="N4" s="8"/>
      <c r="O4" s="10"/>
      <c r="P4" s="8"/>
      <c r="Q4" s="8"/>
      <c r="R4" s="58" t="s">
        <v>144</v>
      </c>
      <c r="S4" s="8"/>
      <c r="T4" s="9"/>
      <c r="U4" s="8"/>
      <c r="V4" s="8"/>
      <c r="W4" s="58" t="s">
        <v>147</v>
      </c>
      <c r="X4" s="8"/>
      <c r="Y4" s="9"/>
      <c r="Z4" s="8"/>
      <c r="AA4" s="8"/>
      <c r="AB4" s="58" t="s">
        <v>149</v>
      </c>
      <c r="AC4" s="8"/>
      <c r="AD4" s="9"/>
      <c r="AE4" s="8"/>
      <c r="AF4" s="8"/>
      <c r="AG4" s="58" t="s">
        <v>151</v>
      </c>
      <c r="AH4" s="8"/>
      <c r="AI4" s="9"/>
      <c r="AJ4" s="8"/>
      <c r="AK4" s="8"/>
      <c r="AL4" s="58" t="s">
        <v>154</v>
      </c>
      <c r="AM4" s="8"/>
      <c r="AN4" s="9"/>
      <c r="AO4" s="8"/>
      <c r="AP4" s="8"/>
      <c r="AQ4" s="58" t="s">
        <v>157</v>
      </c>
      <c r="AR4" s="8"/>
      <c r="AS4" s="9"/>
      <c r="AT4" s="8"/>
      <c r="AU4" s="8"/>
      <c r="AV4" s="58" t="s">
        <v>160</v>
      </c>
      <c r="AW4" s="8"/>
      <c r="AX4" s="9"/>
      <c r="AY4" s="8"/>
      <c r="AZ4" s="8"/>
      <c r="BA4" s="58" t="s">
        <v>163</v>
      </c>
      <c r="BB4" s="8"/>
      <c r="BC4" s="9"/>
      <c r="BD4" s="8"/>
      <c r="BE4" s="8"/>
      <c r="BF4" s="58" t="s">
        <v>167</v>
      </c>
      <c r="BG4" s="8"/>
      <c r="BH4" s="9"/>
      <c r="BI4" s="8"/>
      <c r="BJ4" s="8"/>
      <c r="BK4" s="58" t="s">
        <v>170</v>
      </c>
      <c r="BL4" s="8"/>
      <c r="BM4" s="9"/>
      <c r="BN4" s="8"/>
      <c r="BO4" s="8"/>
      <c r="BP4" s="58" t="s">
        <v>173</v>
      </c>
      <c r="BQ4" s="8"/>
      <c r="BR4" s="9"/>
      <c r="BS4" s="8"/>
      <c r="BT4" s="8"/>
      <c r="BU4" s="58" t="s">
        <v>176</v>
      </c>
      <c r="BV4" s="8"/>
      <c r="BW4" s="9"/>
      <c r="BX4" s="8"/>
      <c r="BY4" s="8"/>
      <c r="BZ4" s="58" t="s">
        <v>183</v>
      </c>
      <c r="CA4" s="8"/>
      <c r="CB4" s="9"/>
      <c r="CC4" s="8"/>
    </row>
    <row r="5" spans="1:81" ht="12.75">
      <c r="A5" s="12" t="s">
        <v>107</v>
      </c>
      <c r="B5" s="8"/>
      <c r="C5" s="8"/>
      <c r="D5" s="9"/>
      <c r="E5" s="8"/>
      <c r="F5" s="10"/>
      <c r="G5" s="8"/>
      <c r="H5" s="8"/>
      <c r="I5" s="8"/>
      <c r="J5" s="12" t="s">
        <v>107</v>
      </c>
      <c r="K5" s="8"/>
      <c r="L5" s="8"/>
      <c r="M5" s="9"/>
      <c r="N5" s="8"/>
      <c r="O5" s="10"/>
      <c r="P5" s="8"/>
      <c r="Q5" s="12" t="s">
        <v>107</v>
      </c>
      <c r="R5" s="8"/>
      <c r="S5" s="8"/>
      <c r="T5" s="9"/>
      <c r="U5" s="8"/>
      <c r="V5" s="12" t="s">
        <v>107</v>
      </c>
      <c r="W5" s="8"/>
      <c r="X5" s="8"/>
      <c r="Y5" s="9"/>
      <c r="Z5" s="8"/>
      <c r="AA5" s="12" t="s">
        <v>107</v>
      </c>
      <c r="AB5" s="8"/>
      <c r="AC5" s="8"/>
      <c r="AD5" s="9"/>
      <c r="AE5" s="8"/>
      <c r="AF5" s="12" t="s">
        <v>107</v>
      </c>
      <c r="AG5" s="8"/>
      <c r="AH5" s="8"/>
      <c r="AI5" s="9"/>
      <c r="AJ5" s="8"/>
      <c r="AK5" s="12" t="s">
        <v>107</v>
      </c>
      <c r="AL5" s="8"/>
      <c r="AM5" s="8"/>
      <c r="AN5" s="9"/>
      <c r="AO5" s="8"/>
      <c r="AP5" s="12" t="s">
        <v>107</v>
      </c>
      <c r="AQ5" s="8"/>
      <c r="AR5" s="8"/>
      <c r="AS5" s="9"/>
      <c r="AT5" s="8"/>
      <c r="AU5" s="12" t="s">
        <v>107</v>
      </c>
      <c r="AV5" s="8"/>
      <c r="AW5" s="8"/>
      <c r="AX5" s="9"/>
      <c r="AY5" s="8"/>
      <c r="AZ5" s="12" t="s">
        <v>107</v>
      </c>
      <c r="BA5" s="8"/>
      <c r="BB5" s="8"/>
      <c r="BC5" s="9"/>
      <c r="BD5" s="8"/>
      <c r="BE5" s="12" t="s">
        <v>107</v>
      </c>
      <c r="BF5" s="8"/>
      <c r="BG5" s="8"/>
      <c r="BH5" s="9"/>
      <c r="BI5" s="8"/>
      <c r="BJ5" s="12" t="s">
        <v>107</v>
      </c>
      <c r="BK5" s="8"/>
      <c r="BL5" s="8"/>
      <c r="BM5" s="9"/>
      <c r="BN5" s="8"/>
      <c r="BO5" s="12" t="s">
        <v>107</v>
      </c>
      <c r="BP5" s="8"/>
      <c r="BQ5" s="8"/>
      <c r="BR5" s="9"/>
      <c r="BS5" s="8"/>
      <c r="BT5" s="12" t="s">
        <v>107</v>
      </c>
      <c r="BU5" s="8"/>
      <c r="BV5" s="8"/>
      <c r="BW5" s="9"/>
      <c r="BX5" s="8"/>
      <c r="BY5" s="12" t="s">
        <v>107</v>
      </c>
      <c r="BZ5" s="8"/>
      <c r="CA5" s="8"/>
      <c r="CB5" s="9"/>
      <c r="CC5" s="8"/>
    </row>
    <row r="6" spans="1:81" ht="12.75">
      <c r="A6" s="13" t="s">
        <v>12</v>
      </c>
      <c r="B6" s="8"/>
      <c r="C6" s="8"/>
      <c r="D6" s="9"/>
      <c r="E6" s="8"/>
      <c r="F6" s="10"/>
      <c r="G6" s="8"/>
      <c r="H6" s="8"/>
      <c r="I6" s="8"/>
      <c r="J6" s="13" t="s">
        <v>12</v>
      </c>
      <c r="K6" s="8"/>
      <c r="L6" s="8"/>
      <c r="M6" s="9"/>
      <c r="N6" s="8"/>
      <c r="O6" s="10"/>
      <c r="P6" s="8"/>
      <c r="Q6" s="13" t="s">
        <v>12</v>
      </c>
      <c r="R6" s="8"/>
      <c r="S6" s="8"/>
      <c r="T6" s="9"/>
      <c r="U6" s="8"/>
      <c r="V6" s="13" t="s">
        <v>12</v>
      </c>
      <c r="W6" s="8"/>
      <c r="X6" s="8"/>
      <c r="Y6" s="9"/>
      <c r="Z6" s="8"/>
      <c r="AA6" s="13" t="s">
        <v>12</v>
      </c>
      <c r="AB6" s="8"/>
      <c r="AC6" s="8"/>
      <c r="AD6" s="9"/>
      <c r="AE6" s="8"/>
      <c r="AF6" s="13" t="s">
        <v>12</v>
      </c>
      <c r="AG6" s="8"/>
      <c r="AH6" s="8"/>
      <c r="AI6" s="9"/>
      <c r="AJ6" s="8"/>
      <c r="AK6" s="13" t="s">
        <v>12</v>
      </c>
      <c r="AL6" s="8"/>
      <c r="AM6" s="8"/>
      <c r="AN6" s="9"/>
      <c r="AO6" s="8"/>
      <c r="AP6" s="13" t="s">
        <v>12</v>
      </c>
      <c r="AQ6" s="8"/>
      <c r="AR6" s="8"/>
      <c r="AS6" s="9"/>
      <c r="AT6" s="8"/>
      <c r="AU6" s="13" t="s">
        <v>12</v>
      </c>
      <c r="AV6" s="8"/>
      <c r="AW6" s="8"/>
      <c r="AX6" s="9"/>
      <c r="AY6" s="8"/>
      <c r="AZ6" s="13" t="s">
        <v>12</v>
      </c>
      <c r="BA6" s="8"/>
      <c r="BB6" s="8"/>
      <c r="BC6" s="9"/>
      <c r="BD6" s="8"/>
      <c r="BE6" s="13" t="s">
        <v>12</v>
      </c>
      <c r="BF6" s="8"/>
      <c r="BG6" s="8"/>
      <c r="BH6" s="9"/>
      <c r="BI6" s="8"/>
      <c r="BJ6" s="13" t="s">
        <v>12</v>
      </c>
      <c r="BK6" s="8"/>
      <c r="BL6" s="8"/>
      <c r="BM6" s="9"/>
      <c r="BN6" s="8"/>
      <c r="BO6" s="13" t="s">
        <v>12</v>
      </c>
      <c r="BP6" s="8"/>
      <c r="BQ6" s="8"/>
      <c r="BR6" s="9"/>
      <c r="BS6" s="8"/>
      <c r="BT6" s="13" t="s">
        <v>12</v>
      </c>
      <c r="BU6" s="8"/>
      <c r="BV6" s="8"/>
      <c r="BW6" s="9"/>
      <c r="BX6" s="8"/>
      <c r="BY6" s="13" t="s">
        <v>12</v>
      </c>
      <c r="BZ6" s="8"/>
      <c r="CA6" s="8"/>
      <c r="CB6" s="9"/>
      <c r="CC6" s="8"/>
    </row>
    <row r="7" spans="1:81" ht="12.75">
      <c r="A7" s="8"/>
      <c r="B7" s="8"/>
      <c r="C7" s="8"/>
      <c r="D7" s="9"/>
      <c r="E7" s="8"/>
      <c r="F7" s="10"/>
      <c r="G7" s="8"/>
      <c r="H7" s="8"/>
      <c r="I7" s="8"/>
      <c r="J7" s="8"/>
      <c r="K7" s="8"/>
      <c r="L7" s="8"/>
      <c r="M7" s="9"/>
      <c r="N7" s="8"/>
      <c r="O7" s="10"/>
      <c r="P7" s="8"/>
      <c r="Q7" s="8"/>
      <c r="R7" s="8"/>
      <c r="S7" s="8"/>
      <c r="T7" s="9"/>
      <c r="U7" s="8"/>
      <c r="V7" s="8"/>
      <c r="W7" s="8"/>
      <c r="X7" s="8"/>
      <c r="Y7" s="9"/>
      <c r="Z7" s="8"/>
      <c r="AA7" s="8"/>
      <c r="AB7" s="8"/>
      <c r="AC7" s="8"/>
      <c r="AD7" s="9"/>
      <c r="AE7" s="8"/>
      <c r="AF7" s="8"/>
      <c r="AG7" s="8"/>
      <c r="AH7" s="8"/>
      <c r="AI7" s="9"/>
      <c r="AJ7" s="8"/>
      <c r="AK7" s="8"/>
      <c r="AL7" s="8"/>
      <c r="AM7" s="8"/>
      <c r="AN7" s="9"/>
      <c r="AO7" s="8"/>
      <c r="AP7" s="8"/>
      <c r="AQ7" s="8"/>
      <c r="AR7" s="8"/>
      <c r="AS7" s="9"/>
      <c r="AT7" s="8"/>
      <c r="AU7" s="8"/>
      <c r="AV7" s="8"/>
      <c r="AW7" s="8"/>
      <c r="AX7" s="9"/>
      <c r="AY7" s="8"/>
      <c r="AZ7" s="8"/>
      <c r="BA7" s="8"/>
      <c r="BB7" s="8"/>
      <c r="BC7" s="9"/>
      <c r="BD7" s="8"/>
      <c r="BE7" s="8"/>
      <c r="BF7" s="8"/>
      <c r="BG7" s="8"/>
      <c r="BH7" s="9"/>
      <c r="BI7" s="8"/>
      <c r="BJ7" s="8"/>
      <c r="BK7" s="8"/>
      <c r="BL7" s="8"/>
      <c r="BM7" s="9"/>
      <c r="BN7" s="8"/>
      <c r="BO7" s="8"/>
      <c r="BP7" s="8"/>
      <c r="BQ7" s="8"/>
      <c r="BR7" s="9"/>
      <c r="BS7" s="8"/>
      <c r="BT7" s="8"/>
      <c r="BU7" s="8"/>
      <c r="BV7" s="8"/>
      <c r="BW7" s="9"/>
      <c r="BX7" s="8"/>
      <c r="BY7" s="8"/>
      <c r="BZ7" s="8"/>
      <c r="CA7" s="8"/>
      <c r="CB7" s="9"/>
      <c r="CC7" s="8"/>
    </row>
    <row r="8" spans="1:81" ht="12.75">
      <c r="A8" s="8" t="s">
        <v>64</v>
      </c>
      <c r="B8" s="8"/>
      <c r="C8" s="8"/>
      <c r="D8" s="14">
        <v>0.8608</v>
      </c>
      <c r="E8" s="10"/>
      <c r="F8" s="10"/>
      <c r="G8" s="8"/>
      <c r="H8" s="8"/>
      <c r="I8" s="8"/>
      <c r="J8" s="8" t="s">
        <v>64</v>
      </c>
      <c r="K8" s="8"/>
      <c r="L8" s="8"/>
      <c r="M8" s="14">
        <v>0.8591541515722533</v>
      </c>
      <c r="N8" s="10"/>
      <c r="O8" s="10"/>
      <c r="P8" s="8"/>
      <c r="Q8" s="8" t="s">
        <v>64</v>
      </c>
      <c r="R8" s="8"/>
      <c r="S8" s="8"/>
      <c r="T8" s="14">
        <v>0.8663839152961101</v>
      </c>
      <c r="U8" s="10"/>
      <c r="V8" s="8" t="s">
        <v>64</v>
      </c>
      <c r="W8" s="8"/>
      <c r="X8" s="8"/>
      <c r="Y8" s="14">
        <v>0.870373737349869</v>
      </c>
      <c r="Z8" s="10"/>
      <c r="AA8" s="8" t="s">
        <v>64</v>
      </c>
      <c r="AB8" s="8"/>
      <c r="AC8" s="8"/>
      <c r="AD8" s="14">
        <v>0.8746774727937534</v>
      </c>
      <c r="AE8" s="10"/>
      <c r="AF8" s="8" t="s">
        <v>64</v>
      </c>
      <c r="AG8" s="8"/>
      <c r="AH8" s="8"/>
      <c r="AI8" s="14">
        <v>0.8757732898413815</v>
      </c>
      <c r="AJ8" s="10"/>
      <c r="AK8" s="8" t="s">
        <v>64</v>
      </c>
      <c r="AL8" s="8"/>
      <c r="AM8" s="8"/>
      <c r="AN8" s="14">
        <v>0.8694616677996869</v>
      </c>
      <c r="AO8" s="10"/>
      <c r="AP8" s="8" t="s">
        <v>64</v>
      </c>
      <c r="AQ8" s="8"/>
      <c r="AR8" s="8"/>
      <c r="AS8" s="14">
        <v>0.9143855245290076</v>
      </c>
      <c r="AT8" s="10"/>
      <c r="AU8" s="8" t="s">
        <v>64</v>
      </c>
      <c r="AV8" s="8"/>
      <c r="AW8" s="8"/>
      <c r="AX8" s="14">
        <v>0.9150398551263297</v>
      </c>
      <c r="AY8" s="10"/>
      <c r="AZ8" s="8" t="s">
        <v>64</v>
      </c>
      <c r="BA8" s="8"/>
      <c r="BB8" s="8"/>
      <c r="BC8" s="14">
        <v>0.9124665611760254</v>
      </c>
      <c r="BD8" s="10"/>
      <c r="BE8" s="8" t="s">
        <v>64</v>
      </c>
      <c r="BF8" s="8"/>
      <c r="BG8" s="8"/>
      <c r="BH8" s="14">
        <v>0.9007350757220236</v>
      </c>
      <c r="BI8" s="10"/>
      <c r="BJ8" s="8" t="s">
        <v>64</v>
      </c>
      <c r="BK8" s="8"/>
      <c r="BL8" s="8"/>
      <c r="BM8" s="14">
        <v>0.8912431376365056</v>
      </c>
      <c r="BN8" s="10"/>
      <c r="BO8" s="8" t="s">
        <v>64</v>
      </c>
      <c r="BP8" s="8"/>
      <c r="BQ8" s="8"/>
      <c r="BR8" s="14">
        <v>0.8928197249508245</v>
      </c>
      <c r="BS8" s="10"/>
      <c r="BT8" s="8" t="s">
        <v>64</v>
      </c>
      <c r="BU8" s="8"/>
      <c r="BV8" s="8"/>
      <c r="BW8" s="14">
        <v>0.8858231679842925</v>
      </c>
      <c r="BX8" s="10"/>
      <c r="BY8" s="8" t="s">
        <v>64</v>
      </c>
      <c r="BZ8" s="8"/>
      <c r="CA8" s="8"/>
      <c r="CB8" s="14">
        <v>0.8796662716621233</v>
      </c>
      <c r="CC8" s="10"/>
    </row>
    <row r="9" spans="1:81" ht="12.75">
      <c r="A9" s="8" t="s">
        <v>13</v>
      </c>
      <c r="B9" s="8"/>
      <c r="C9" s="8"/>
      <c r="D9" s="15">
        <f>+D33/F33</f>
        <v>13848.058310010763</v>
      </c>
      <c r="E9" s="10"/>
      <c r="F9" s="10"/>
      <c r="G9" s="8"/>
      <c r="H9" s="8"/>
      <c r="I9" s="8"/>
      <c r="J9" s="8" t="s">
        <v>13</v>
      </c>
      <c r="K9" s="8"/>
      <c r="L9" s="8"/>
      <c r="M9" s="15">
        <v>13670.24754052543</v>
      </c>
      <c r="N9" s="10"/>
      <c r="O9" s="10"/>
      <c r="P9" s="8"/>
      <c r="Q9" s="8" t="s">
        <v>13</v>
      </c>
      <c r="R9" s="8"/>
      <c r="S9" s="8"/>
      <c r="T9" s="15">
        <v>14064.096867699644</v>
      </c>
      <c r="U9" s="10"/>
      <c r="V9" s="8" t="s">
        <v>13</v>
      </c>
      <c r="W9" s="8"/>
      <c r="X9" s="8"/>
      <c r="Y9" s="15">
        <v>14352.08006808897</v>
      </c>
      <c r="Z9" s="10"/>
      <c r="AA9" s="8" t="s">
        <v>13</v>
      </c>
      <c r="AB9" s="8"/>
      <c r="AC9" s="8"/>
      <c r="AD9" s="15">
        <v>14444.348929130352</v>
      </c>
      <c r="AE9" s="10"/>
      <c r="AF9" s="8" t="s">
        <v>13</v>
      </c>
      <c r="AG9" s="8"/>
      <c r="AH9" s="8"/>
      <c r="AI9" s="15">
        <v>13939.243984043876</v>
      </c>
      <c r="AJ9" s="10"/>
      <c r="AK9" s="8" t="s">
        <v>13</v>
      </c>
      <c r="AL9" s="8"/>
      <c r="AM9" s="8"/>
      <c r="AN9" s="15">
        <v>13195.706376936309</v>
      </c>
      <c r="AO9" s="10"/>
      <c r="AP9" s="8" t="s">
        <v>13</v>
      </c>
      <c r="AQ9" s="8"/>
      <c r="AR9" s="8"/>
      <c r="AS9" s="15">
        <v>16175.765989791402</v>
      </c>
      <c r="AT9" s="10"/>
      <c r="AU9" s="8" t="s">
        <v>13</v>
      </c>
      <c r="AV9" s="8"/>
      <c r="AW9" s="8"/>
      <c r="AX9" s="15">
        <v>17147.830647500658</v>
      </c>
      <c r="AY9" s="10"/>
      <c r="AZ9" s="8" t="s">
        <v>13</v>
      </c>
      <c r="BA9" s="8"/>
      <c r="BB9" s="8"/>
      <c r="BC9" s="15">
        <v>17626.75977260423</v>
      </c>
      <c r="BD9" s="10"/>
      <c r="BE9" s="8" t="s">
        <v>13</v>
      </c>
      <c r="BF9" s="8"/>
      <c r="BG9" s="8"/>
      <c r="BH9" s="15">
        <v>19490.35012989826</v>
      </c>
      <c r="BI9" s="10"/>
      <c r="BJ9" s="8" t="s">
        <v>13</v>
      </c>
      <c r="BK9" s="8"/>
      <c r="BL9" s="8"/>
      <c r="BM9" s="15">
        <v>20184.700620631244</v>
      </c>
      <c r="BN9" s="10"/>
      <c r="BO9" s="8" t="s">
        <v>13</v>
      </c>
      <c r="BP9" s="8"/>
      <c r="BQ9" s="8"/>
      <c r="BR9" s="15">
        <v>20792.937966778816</v>
      </c>
      <c r="BS9" s="10"/>
      <c r="BT9" s="8" t="s">
        <v>13</v>
      </c>
      <c r="BU9" s="8"/>
      <c r="BV9" s="8"/>
      <c r="BW9" s="15">
        <v>21528.96360594016</v>
      </c>
      <c r="BX9" s="10"/>
      <c r="BY9" s="8" t="s">
        <v>13</v>
      </c>
      <c r="BZ9" s="8"/>
      <c r="CA9" s="8"/>
      <c r="CB9" s="15">
        <v>22341.356035588648</v>
      </c>
      <c r="CC9" s="10"/>
    </row>
    <row r="10" spans="1:81" ht="12.75">
      <c r="A10" s="8" t="s">
        <v>14</v>
      </c>
      <c r="B10" s="8"/>
      <c r="C10" s="8"/>
      <c r="D10" s="16">
        <v>1.993562503217874</v>
      </c>
      <c r="E10" s="10" t="s">
        <v>11</v>
      </c>
      <c r="F10" s="10"/>
      <c r="G10" s="8"/>
      <c r="H10" s="8"/>
      <c r="I10" s="8"/>
      <c r="J10" s="8" t="s">
        <v>14</v>
      </c>
      <c r="K10" s="8"/>
      <c r="L10" s="8"/>
      <c r="M10" s="16">
        <v>3.966004268653463</v>
      </c>
      <c r="N10" s="10" t="s">
        <v>11</v>
      </c>
      <c r="O10" s="10"/>
      <c r="P10" s="8"/>
      <c r="Q10" s="8" t="s">
        <v>14</v>
      </c>
      <c r="R10" s="8"/>
      <c r="S10" s="8"/>
      <c r="T10" s="16">
        <v>4.157850250528023</v>
      </c>
      <c r="U10" s="10" t="s">
        <v>11</v>
      </c>
      <c r="V10" s="8" t="s">
        <v>14</v>
      </c>
      <c r="W10" s="8"/>
      <c r="X10" s="8"/>
      <c r="Y10" s="16">
        <v>6.195203764540944</v>
      </c>
      <c r="Z10" s="10" t="s">
        <v>11</v>
      </c>
      <c r="AA10" s="8" t="s">
        <v>14</v>
      </c>
      <c r="AB10" s="8"/>
      <c r="AC10" s="8"/>
      <c r="AD10" s="16">
        <v>8.237872036193274</v>
      </c>
      <c r="AE10" s="10" t="s">
        <v>11</v>
      </c>
      <c r="AF10" s="8" t="s">
        <v>14</v>
      </c>
      <c r="AG10" s="8"/>
      <c r="AH10" s="8"/>
      <c r="AI10" s="16">
        <v>10.792216266085362</v>
      </c>
      <c r="AJ10" s="10" t="s">
        <v>11</v>
      </c>
      <c r="AK10" s="8" t="s">
        <v>14</v>
      </c>
      <c r="AL10" s="8"/>
      <c r="AM10" s="8"/>
      <c r="AN10" s="16">
        <v>13.72326541054393</v>
      </c>
      <c r="AO10" s="10" t="s">
        <v>11</v>
      </c>
      <c r="AP10" s="8" t="s">
        <v>14</v>
      </c>
      <c r="AQ10" s="8"/>
      <c r="AR10" s="8"/>
      <c r="AS10" s="16">
        <v>10.189568399876114</v>
      </c>
      <c r="AT10" s="10" t="s">
        <v>11</v>
      </c>
      <c r="AU10" s="8" t="s">
        <v>14</v>
      </c>
      <c r="AV10" s="8"/>
      <c r="AW10" s="8"/>
      <c r="AX10" s="16">
        <v>12.652650270373904</v>
      </c>
      <c r="AY10" s="10" t="s">
        <v>11</v>
      </c>
      <c r="AZ10" s="8" t="s">
        <v>14</v>
      </c>
      <c r="BA10" s="8"/>
      <c r="BB10" s="8"/>
      <c r="BC10" s="16">
        <v>13.961562645345783</v>
      </c>
      <c r="BD10" s="10" t="s">
        <v>11</v>
      </c>
      <c r="BE10" s="8" t="s">
        <v>14</v>
      </c>
      <c r="BF10" s="8"/>
      <c r="BG10" s="8"/>
      <c r="BH10" s="16">
        <v>12.416458751389333</v>
      </c>
      <c r="BI10" s="10" t="s">
        <v>11</v>
      </c>
      <c r="BJ10" s="8" t="s">
        <v>14</v>
      </c>
      <c r="BK10" s="8"/>
      <c r="BL10" s="8"/>
      <c r="BM10" s="16">
        <v>13.452350336716377</v>
      </c>
      <c r="BN10" s="10" t="s">
        <v>11</v>
      </c>
      <c r="BO10" s="8" t="s">
        <v>14</v>
      </c>
      <c r="BP10" s="8"/>
      <c r="BQ10" s="8"/>
      <c r="BR10" s="16">
        <v>14.266154992605697</v>
      </c>
      <c r="BS10" s="10" t="s">
        <v>11</v>
      </c>
      <c r="BT10" s="8" t="s">
        <v>14</v>
      </c>
      <c r="BU10" s="8"/>
      <c r="BV10" s="8"/>
      <c r="BW10" s="16">
        <v>14.888544224195167</v>
      </c>
      <c r="BX10" s="10" t="s">
        <v>11</v>
      </c>
      <c r="BY10" s="8" t="s">
        <v>14</v>
      </c>
      <c r="BZ10" s="8"/>
      <c r="CA10" s="8"/>
      <c r="CB10" s="16">
        <v>15.360211734373491</v>
      </c>
      <c r="CC10" s="10" t="s">
        <v>11</v>
      </c>
    </row>
    <row r="11" spans="1:81" ht="12.75">
      <c r="A11" s="8" t="s">
        <v>15</v>
      </c>
      <c r="B11" s="8"/>
      <c r="C11" s="8"/>
      <c r="D11" s="17">
        <v>0.11681605681890682</v>
      </c>
      <c r="E11" s="10"/>
      <c r="F11" s="10"/>
      <c r="G11" s="8"/>
      <c r="H11" s="8"/>
      <c r="I11" s="8"/>
      <c r="J11" s="8" t="s">
        <v>15</v>
      </c>
      <c r="K11" s="8"/>
      <c r="L11" s="8"/>
      <c r="M11" s="17">
        <v>0.11673550184056834</v>
      </c>
      <c r="N11" s="10"/>
      <c r="O11" s="10"/>
      <c r="P11" s="8"/>
      <c r="Q11" s="8" t="s">
        <v>15</v>
      </c>
      <c r="R11" s="8"/>
      <c r="S11" s="8"/>
      <c r="T11" s="17">
        <v>0.11483886854498568</v>
      </c>
      <c r="U11" s="10"/>
      <c r="V11" s="8" t="s">
        <v>15</v>
      </c>
      <c r="W11" s="8"/>
      <c r="X11" s="8"/>
      <c r="Y11" s="17">
        <v>0.11189735670567665</v>
      </c>
      <c r="Z11" s="10"/>
      <c r="AA11" s="8" t="s">
        <v>15</v>
      </c>
      <c r="AB11" s="8"/>
      <c r="AC11" s="8"/>
      <c r="AD11" s="17">
        <v>0.11011609281296086</v>
      </c>
      <c r="AE11" s="10"/>
      <c r="AF11" s="8" t="s">
        <v>15</v>
      </c>
      <c r="AG11" s="8"/>
      <c r="AH11" s="8"/>
      <c r="AI11" s="17">
        <v>0.10977109260215295</v>
      </c>
      <c r="AJ11" s="10"/>
      <c r="AK11" s="8" t="s">
        <v>15</v>
      </c>
      <c r="AL11" s="8"/>
      <c r="AM11" s="8"/>
      <c r="AN11" s="17">
        <v>0.10946189991419293</v>
      </c>
      <c r="AO11" s="10"/>
      <c r="AP11" s="8" t="s">
        <v>15</v>
      </c>
      <c r="AQ11" s="8"/>
      <c r="AR11" s="8"/>
      <c r="AS11" s="17">
        <v>0.10178424186461163</v>
      </c>
      <c r="AT11" s="10"/>
      <c r="AU11" s="8" t="s">
        <v>15</v>
      </c>
      <c r="AV11" s="8"/>
      <c r="AW11" s="8"/>
      <c r="AX11" s="17">
        <v>0.1006611188845143</v>
      </c>
      <c r="AY11" s="10"/>
      <c r="AZ11" s="8" t="s">
        <v>15</v>
      </c>
      <c r="BA11" s="8"/>
      <c r="BB11" s="8"/>
      <c r="BC11" s="17">
        <v>0.09865368834472203</v>
      </c>
      <c r="BD11" s="10"/>
      <c r="BE11" s="8" t="s">
        <v>15</v>
      </c>
      <c r="BF11" s="8"/>
      <c r="BG11" s="8"/>
      <c r="BH11" s="17">
        <v>0.09351730306073527</v>
      </c>
      <c r="BI11" s="10"/>
      <c r="BJ11" s="8" t="s">
        <v>15</v>
      </c>
      <c r="BK11" s="8"/>
      <c r="BL11" s="8"/>
      <c r="BM11" s="17">
        <v>0.0916356526945079</v>
      </c>
      <c r="BN11" s="10"/>
      <c r="BO11" s="8" t="s">
        <v>15</v>
      </c>
      <c r="BP11" s="8"/>
      <c r="BQ11" s="8"/>
      <c r="BR11" s="17">
        <v>0.09537360422145075</v>
      </c>
      <c r="BS11" s="10"/>
      <c r="BT11" s="8" t="s">
        <v>15</v>
      </c>
      <c r="BU11" s="8"/>
      <c r="BV11" s="8"/>
      <c r="BW11" s="17">
        <v>0.09908208530575038</v>
      </c>
      <c r="BX11" s="10"/>
      <c r="BY11" s="8" t="s">
        <v>15</v>
      </c>
      <c r="BZ11" s="8"/>
      <c r="CA11" s="8"/>
      <c r="CB11" s="17">
        <v>0.09812676096407649</v>
      </c>
      <c r="CC11" s="10"/>
    </row>
    <row r="12" spans="1:81" ht="12.75">
      <c r="A12" s="8" t="s">
        <v>16</v>
      </c>
      <c r="B12" s="8"/>
      <c r="C12" s="8"/>
      <c r="D12" s="18">
        <v>11.418713845124804</v>
      </c>
      <c r="E12" s="10" t="s">
        <v>79</v>
      </c>
      <c r="F12" s="10"/>
      <c r="G12" s="8"/>
      <c r="H12" s="8"/>
      <c r="I12" s="8"/>
      <c r="J12" s="8" t="s">
        <v>16</v>
      </c>
      <c r="K12" s="8"/>
      <c r="L12" s="8"/>
      <c r="M12" s="18">
        <v>11.307116513939095</v>
      </c>
      <c r="N12" s="10" t="s">
        <v>79</v>
      </c>
      <c r="O12" s="10"/>
      <c r="P12" s="8"/>
      <c r="Q12" s="8" t="s">
        <v>16</v>
      </c>
      <c r="R12" s="8"/>
      <c r="S12" s="8"/>
      <c r="T12" s="18">
        <v>11.398318835657472</v>
      </c>
      <c r="U12" s="10" t="s">
        <v>79</v>
      </c>
      <c r="V12" s="8" t="s">
        <v>16</v>
      </c>
      <c r="W12" s="8"/>
      <c r="X12" s="8"/>
      <c r="Y12" s="18">
        <v>11.281171624056</v>
      </c>
      <c r="Z12" s="10" t="s">
        <v>79</v>
      </c>
      <c r="AA12" s="8" t="s">
        <v>16</v>
      </c>
      <c r="AB12" s="8"/>
      <c r="AC12" s="8"/>
      <c r="AD12" s="18">
        <v>11.39</v>
      </c>
      <c r="AE12" s="10" t="s">
        <v>79</v>
      </c>
      <c r="AF12" s="8" t="s">
        <v>16</v>
      </c>
      <c r="AG12" s="8"/>
      <c r="AH12" s="8"/>
      <c r="AI12" s="18">
        <v>11.657124613730245</v>
      </c>
      <c r="AJ12" s="10" t="s">
        <v>79</v>
      </c>
      <c r="AK12" s="8" t="s">
        <v>16</v>
      </c>
      <c r="AL12" s="8"/>
      <c r="AM12" s="8"/>
      <c r="AN12" s="18">
        <v>11.358145240010236</v>
      </c>
      <c r="AO12" s="10" t="s">
        <v>79</v>
      </c>
      <c r="AP12" s="8" t="s">
        <v>16</v>
      </c>
      <c r="AQ12" s="8"/>
      <c r="AR12" s="8"/>
      <c r="AS12" s="18">
        <v>13.193750714448056</v>
      </c>
      <c r="AT12" s="10" t="s">
        <v>79</v>
      </c>
      <c r="AU12" s="8" t="s">
        <v>16</v>
      </c>
      <c r="AV12" s="8"/>
      <c r="AW12" s="8"/>
      <c r="AX12" s="18">
        <v>13.159773434021409</v>
      </c>
      <c r="AY12" s="10" t="s">
        <v>79</v>
      </c>
      <c r="AZ12" s="8" t="s">
        <v>16</v>
      </c>
      <c r="BA12" s="8"/>
      <c r="BB12" s="8"/>
      <c r="BC12" s="18">
        <v>13.340192408599124</v>
      </c>
      <c r="BD12" s="10" t="s">
        <v>79</v>
      </c>
      <c r="BE12" s="8" t="s">
        <v>16</v>
      </c>
      <c r="BF12" s="8"/>
      <c r="BG12" s="8"/>
      <c r="BH12" s="18">
        <v>14.057343588223594</v>
      </c>
      <c r="BI12" s="10" t="s">
        <v>79</v>
      </c>
      <c r="BJ12" s="8" t="s">
        <v>16</v>
      </c>
      <c r="BK12" s="8"/>
      <c r="BL12" s="8"/>
      <c r="BM12" s="18">
        <v>14.328053146751062</v>
      </c>
      <c r="BN12" s="10" t="s">
        <v>79</v>
      </c>
      <c r="BO12" s="8" t="s">
        <v>16</v>
      </c>
      <c r="BP12" s="8"/>
      <c r="BQ12" s="8"/>
      <c r="BR12" s="18">
        <v>14.640320801901913</v>
      </c>
      <c r="BS12" s="10" t="s">
        <v>79</v>
      </c>
      <c r="BT12" s="8" t="s">
        <v>16</v>
      </c>
      <c r="BU12" s="8"/>
      <c r="BV12" s="8"/>
      <c r="BW12" s="18">
        <v>14.880619930337737</v>
      </c>
      <c r="BX12" s="10" t="s">
        <v>79</v>
      </c>
      <c r="BY12" s="8" t="s">
        <v>16</v>
      </c>
      <c r="BZ12" s="8"/>
      <c r="CA12" s="8"/>
      <c r="CB12" s="18">
        <v>15.204418949011105</v>
      </c>
      <c r="CC12" s="10" t="s">
        <v>79</v>
      </c>
    </row>
    <row r="13" spans="1:81" ht="12.75">
      <c r="A13" s="8"/>
      <c r="B13" s="8"/>
      <c r="C13" s="8"/>
      <c r="D13" s="9"/>
      <c r="E13" s="8"/>
      <c r="F13" s="10"/>
      <c r="G13" s="8"/>
      <c r="H13" s="8"/>
      <c r="I13" s="8"/>
      <c r="J13" s="8"/>
      <c r="K13" s="8"/>
      <c r="L13" s="8"/>
      <c r="M13" s="9"/>
      <c r="N13" s="8"/>
      <c r="O13" s="10"/>
      <c r="P13" s="8"/>
      <c r="Q13" s="8"/>
      <c r="R13" s="8"/>
      <c r="S13" s="8"/>
      <c r="T13" s="9"/>
      <c r="U13" s="8"/>
      <c r="V13" s="8"/>
      <c r="W13" s="8"/>
      <c r="X13" s="8"/>
      <c r="Y13" s="9"/>
      <c r="Z13" s="8"/>
      <c r="AA13" s="8"/>
      <c r="AB13" s="8"/>
      <c r="AC13" s="8"/>
      <c r="AD13" s="9"/>
      <c r="AE13" s="8"/>
      <c r="AF13" s="8"/>
      <c r="AG13" s="8"/>
      <c r="AH13" s="8"/>
      <c r="AI13" s="9"/>
      <c r="AJ13" s="8"/>
      <c r="AK13" s="8"/>
      <c r="AL13" s="8"/>
      <c r="AM13" s="8"/>
      <c r="AN13" s="9"/>
      <c r="AO13" s="8"/>
      <c r="AP13" s="8"/>
      <c r="AQ13" s="8"/>
      <c r="AR13" s="8"/>
      <c r="AS13" s="9"/>
      <c r="AT13" s="8"/>
      <c r="AU13" s="8"/>
      <c r="AV13" s="8"/>
      <c r="AW13" s="8"/>
      <c r="AX13" s="9"/>
      <c r="AY13" s="8"/>
      <c r="AZ13" s="8"/>
      <c r="BA13" s="8"/>
      <c r="BB13" s="8"/>
      <c r="BC13" s="9"/>
      <c r="BD13" s="8"/>
      <c r="BE13" s="8"/>
      <c r="BF13" s="8"/>
      <c r="BG13" s="8"/>
      <c r="BH13" s="9"/>
      <c r="BI13" s="8"/>
      <c r="BJ13" s="8"/>
      <c r="BK13" s="8"/>
      <c r="BL13" s="8"/>
      <c r="BM13" s="9"/>
      <c r="BN13" s="8"/>
      <c r="BO13" s="8"/>
      <c r="BP13" s="8"/>
      <c r="BQ13" s="8"/>
      <c r="BR13" s="9"/>
      <c r="BS13" s="8"/>
      <c r="BT13" s="8"/>
      <c r="BU13" s="8"/>
      <c r="BV13" s="8"/>
      <c r="BW13" s="9"/>
      <c r="BX13" s="8"/>
      <c r="BY13" s="8"/>
      <c r="BZ13" s="8"/>
      <c r="CA13" s="8"/>
      <c r="CB13" s="9"/>
      <c r="CC13" s="8"/>
    </row>
    <row r="14" spans="1:81" ht="12.75">
      <c r="A14" s="8"/>
      <c r="B14" s="8"/>
      <c r="C14" s="8"/>
      <c r="D14" s="9"/>
      <c r="E14" s="8"/>
      <c r="F14" s="10"/>
      <c r="G14" s="8"/>
      <c r="H14" s="8"/>
      <c r="I14" s="8"/>
      <c r="J14" s="8"/>
      <c r="K14" s="8"/>
      <c r="L14" s="8"/>
      <c r="M14" s="9"/>
      <c r="N14" s="8"/>
      <c r="O14" s="10"/>
      <c r="P14" s="8"/>
      <c r="Q14" s="8"/>
      <c r="R14" s="8"/>
      <c r="S14" s="8"/>
      <c r="T14" s="9"/>
      <c r="U14" s="8"/>
      <c r="V14" s="8"/>
      <c r="W14" s="8"/>
      <c r="X14" s="8"/>
      <c r="Y14" s="9"/>
      <c r="Z14" s="8"/>
      <c r="AA14" s="8"/>
      <c r="AB14" s="8"/>
      <c r="AC14" s="8"/>
      <c r="AD14" s="9"/>
      <c r="AE14" s="8"/>
      <c r="AF14" s="8"/>
      <c r="AG14" s="8"/>
      <c r="AH14" s="8"/>
      <c r="AI14" s="9"/>
      <c r="AJ14" s="8"/>
      <c r="AK14" s="8"/>
      <c r="AL14" s="8"/>
      <c r="AM14" s="8"/>
      <c r="AN14" s="9"/>
      <c r="AO14" s="8"/>
      <c r="AP14" s="8"/>
      <c r="AQ14" s="8"/>
      <c r="AR14" s="8"/>
      <c r="AS14" s="9"/>
      <c r="AT14" s="8"/>
      <c r="AU14" s="8"/>
      <c r="AV14" s="8"/>
      <c r="AW14" s="8"/>
      <c r="AX14" s="9"/>
      <c r="AY14" s="8"/>
      <c r="AZ14" s="8"/>
      <c r="BA14" s="8"/>
      <c r="BB14" s="8"/>
      <c r="BC14" s="9"/>
      <c r="BD14" s="8"/>
      <c r="BE14" s="8"/>
      <c r="BF14" s="8"/>
      <c r="BG14" s="8"/>
      <c r="BH14" s="9"/>
      <c r="BI14" s="8"/>
      <c r="BJ14" s="8"/>
      <c r="BK14" s="8"/>
      <c r="BL14" s="8"/>
      <c r="BM14" s="9"/>
      <c r="BN14" s="8"/>
      <c r="BO14" s="8"/>
      <c r="BP14" s="8"/>
      <c r="BQ14" s="8"/>
      <c r="BR14" s="9"/>
      <c r="BS14" s="8"/>
      <c r="BT14" s="8"/>
      <c r="BU14" s="8"/>
      <c r="BV14" s="8"/>
      <c r="BW14" s="9"/>
      <c r="BX14" s="8"/>
      <c r="BY14" s="8"/>
      <c r="BZ14" s="8"/>
      <c r="CA14" s="8"/>
      <c r="CB14" s="9"/>
      <c r="CC14" s="8"/>
    </row>
    <row r="15" spans="1:81" ht="12.75">
      <c r="A15" s="19" t="s">
        <v>108</v>
      </c>
      <c r="B15" s="8"/>
      <c r="C15" s="8"/>
      <c r="D15" s="9"/>
      <c r="E15" s="8"/>
      <c r="F15" s="10"/>
      <c r="G15" s="8"/>
      <c r="H15" s="8"/>
      <c r="I15" s="8"/>
      <c r="J15" s="19" t="s">
        <v>108</v>
      </c>
      <c r="K15" s="8"/>
      <c r="L15" s="8"/>
      <c r="M15" s="9"/>
      <c r="N15" s="8"/>
      <c r="O15" s="10"/>
      <c r="P15" s="8"/>
      <c r="Q15" s="19" t="s">
        <v>108</v>
      </c>
      <c r="R15" s="8"/>
      <c r="S15" s="8"/>
      <c r="T15" s="9"/>
      <c r="U15" s="8"/>
      <c r="V15" s="19" t="s">
        <v>108</v>
      </c>
      <c r="W15" s="8"/>
      <c r="X15" s="8"/>
      <c r="Y15" s="9"/>
      <c r="Z15" s="8"/>
      <c r="AA15" s="19" t="s">
        <v>108</v>
      </c>
      <c r="AB15" s="8"/>
      <c r="AC15" s="8"/>
      <c r="AD15" s="9"/>
      <c r="AE15" s="8"/>
      <c r="AF15" s="19" t="s">
        <v>108</v>
      </c>
      <c r="AG15" s="8"/>
      <c r="AH15" s="8"/>
      <c r="AI15" s="9"/>
      <c r="AJ15" s="8"/>
      <c r="AK15" s="19" t="s">
        <v>108</v>
      </c>
      <c r="AL15" s="8"/>
      <c r="AM15" s="8"/>
      <c r="AN15" s="9"/>
      <c r="AO15" s="8"/>
      <c r="AP15" s="19" t="s">
        <v>108</v>
      </c>
      <c r="AQ15" s="8"/>
      <c r="AR15" s="8"/>
      <c r="AS15" s="9"/>
      <c r="AT15" s="8"/>
      <c r="AU15" s="19" t="s">
        <v>108</v>
      </c>
      <c r="AV15" s="8"/>
      <c r="AW15" s="8"/>
      <c r="AX15" s="9"/>
      <c r="AY15" s="8"/>
      <c r="AZ15" s="19" t="s">
        <v>108</v>
      </c>
      <c r="BA15" s="8"/>
      <c r="BB15" s="8"/>
      <c r="BC15" s="9"/>
      <c r="BD15" s="8"/>
      <c r="BE15" s="19" t="s">
        <v>108</v>
      </c>
      <c r="BF15" s="8"/>
      <c r="BG15" s="8"/>
      <c r="BH15" s="9"/>
      <c r="BI15" s="8"/>
      <c r="BJ15" s="19" t="s">
        <v>108</v>
      </c>
      <c r="BK15" s="8"/>
      <c r="BL15" s="8"/>
      <c r="BM15" s="9"/>
      <c r="BN15" s="8"/>
      <c r="BO15" s="19" t="s">
        <v>108</v>
      </c>
      <c r="BP15" s="8"/>
      <c r="BQ15" s="8"/>
      <c r="BR15" s="9"/>
      <c r="BS15" s="8"/>
      <c r="BT15" s="19" t="s">
        <v>108</v>
      </c>
      <c r="BU15" s="8"/>
      <c r="BV15" s="8"/>
      <c r="BW15" s="9"/>
      <c r="BX15" s="8"/>
      <c r="BY15" s="19" t="s">
        <v>108</v>
      </c>
      <c r="BZ15" s="8"/>
      <c r="CA15" s="8"/>
      <c r="CB15" s="9"/>
      <c r="CC15" s="8"/>
    </row>
    <row r="16" spans="1:81" ht="12.75">
      <c r="A16" s="8"/>
      <c r="B16" s="8"/>
      <c r="C16" s="8"/>
      <c r="D16" s="9"/>
      <c r="E16" s="8"/>
      <c r="F16" s="10"/>
      <c r="G16" s="8"/>
      <c r="H16" s="8"/>
      <c r="I16" s="8"/>
      <c r="J16" s="8"/>
      <c r="K16" s="8"/>
      <c r="L16" s="8"/>
      <c r="M16" s="9"/>
      <c r="N16" s="8"/>
      <c r="O16" s="10"/>
      <c r="P16" s="8"/>
      <c r="Q16" s="8"/>
      <c r="R16" s="8"/>
      <c r="S16" s="8"/>
      <c r="T16" s="9"/>
      <c r="U16" s="8"/>
      <c r="V16" s="8"/>
      <c r="W16" s="8"/>
      <c r="X16" s="8"/>
      <c r="Y16" s="9"/>
      <c r="Z16" s="8"/>
      <c r="AA16" s="8"/>
      <c r="AB16" s="8"/>
      <c r="AC16" s="8"/>
      <c r="AD16" s="9"/>
      <c r="AE16" s="8"/>
      <c r="AF16" s="8"/>
      <c r="AG16" s="8"/>
      <c r="AH16" s="8"/>
      <c r="AI16" s="9"/>
      <c r="AJ16" s="8"/>
      <c r="AK16" s="8"/>
      <c r="AL16" s="8"/>
      <c r="AM16" s="8"/>
      <c r="AN16" s="9"/>
      <c r="AO16" s="8"/>
      <c r="AP16" s="8"/>
      <c r="AQ16" s="8"/>
      <c r="AR16" s="8"/>
      <c r="AS16" s="9"/>
      <c r="AT16" s="8"/>
      <c r="AU16" s="8"/>
      <c r="AV16" s="8"/>
      <c r="AW16" s="8"/>
      <c r="AX16" s="9"/>
      <c r="AY16" s="8"/>
      <c r="AZ16" s="8"/>
      <c r="BA16" s="8"/>
      <c r="BB16" s="8"/>
      <c r="BC16" s="9"/>
      <c r="BD16" s="8"/>
      <c r="BE16" s="8"/>
      <c r="BF16" s="8"/>
      <c r="BG16" s="8"/>
      <c r="BH16" s="9"/>
      <c r="BI16" s="8"/>
      <c r="BJ16" s="8"/>
      <c r="BK16" s="8"/>
      <c r="BL16" s="8"/>
      <c r="BM16" s="9"/>
      <c r="BN16" s="8"/>
      <c r="BO16" s="8"/>
      <c r="BP16" s="8"/>
      <c r="BQ16" s="8"/>
      <c r="BR16" s="9"/>
      <c r="BS16" s="8"/>
      <c r="BT16" s="8"/>
      <c r="BU16" s="8"/>
      <c r="BV16" s="8"/>
      <c r="BW16" s="9"/>
      <c r="BX16" s="8"/>
      <c r="BY16" s="8"/>
      <c r="BZ16" s="8"/>
      <c r="CA16" s="8"/>
      <c r="CB16" s="9"/>
      <c r="CC16" s="8"/>
    </row>
    <row r="17" spans="1:81" s="29" customFormat="1" ht="12.75">
      <c r="A17" s="25"/>
      <c r="B17" s="25"/>
      <c r="C17" s="25"/>
      <c r="D17" s="27" t="s">
        <v>99</v>
      </c>
      <c r="E17" s="26" t="s">
        <v>100</v>
      </c>
      <c r="F17" s="28" t="s">
        <v>101</v>
      </c>
      <c r="G17" s="26" t="s">
        <v>100</v>
      </c>
      <c r="H17" s="25"/>
      <c r="I17" s="25"/>
      <c r="J17" s="27" t="s">
        <v>99</v>
      </c>
      <c r="K17" s="26" t="s">
        <v>100</v>
      </c>
      <c r="L17" s="28" t="s">
        <v>101</v>
      </c>
      <c r="M17" s="26" t="s">
        <v>100</v>
      </c>
      <c r="N17" s="64"/>
      <c r="O17" s="65"/>
      <c r="P17" s="12" t="s">
        <v>140</v>
      </c>
      <c r="Q17" s="27" t="s">
        <v>99</v>
      </c>
      <c r="R17" s="26" t="s">
        <v>100</v>
      </c>
      <c r="S17" s="28" t="s">
        <v>101</v>
      </c>
      <c r="T17" s="26" t="s">
        <v>100</v>
      </c>
      <c r="U17" s="64"/>
      <c r="V17" s="27" t="s">
        <v>99</v>
      </c>
      <c r="W17" s="26" t="s">
        <v>100</v>
      </c>
      <c r="X17" s="28" t="s">
        <v>101</v>
      </c>
      <c r="Y17" s="26" t="s">
        <v>100</v>
      </c>
      <c r="Z17" s="64"/>
      <c r="AA17" s="27" t="s">
        <v>99</v>
      </c>
      <c r="AB17" s="26" t="s">
        <v>100</v>
      </c>
      <c r="AC17" s="28" t="s">
        <v>101</v>
      </c>
      <c r="AD17" s="26" t="s">
        <v>100</v>
      </c>
      <c r="AE17" s="64"/>
      <c r="AF17" s="27" t="s">
        <v>99</v>
      </c>
      <c r="AG17" s="26" t="s">
        <v>100</v>
      </c>
      <c r="AH17" s="28" t="s">
        <v>101</v>
      </c>
      <c r="AI17" s="26" t="s">
        <v>100</v>
      </c>
      <c r="AJ17" s="64"/>
      <c r="AK17" s="27" t="s">
        <v>99</v>
      </c>
      <c r="AL17" s="26" t="s">
        <v>100</v>
      </c>
      <c r="AM17" s="28" t="s">
        <v>101</v>
      </c>
      <c r="AN17" s="26" t="s">
        <v>100</v>
      </c>
      <c r="AO17" s="64"/>
      <c r="AP17" s="89" t="s">
        <v>99</v>
      </c>
      <c r="AQ17" s="44" t="s">
        <v>100</v>
      </c>
      <c r="AR17" s="88" t="s">
        <v>101</v>
      </c>
      <c r="AS17" s="44" t="s">
        <v>100</v>
      </c>
      <c r="AT17" s="64"/>
      <c r="AU17" s="89" t="s">
        <v>99</v>
      </c>
      <c r="AV17" s="44" t="s">
        <v>100</v>
      </c>
      <c r="AW17" s="88" t="s">
        <v>101</v>
      </c>
      <c r="AX17" s="44" t="s">
        <v>100</v>
      </c>
      <c r="AY17" s="64"/>
      <c r="AZ17" s="89" t="s">
        <v>99</v>
      </c>
      <c r="BA17" s="44" t="s">
        <v>100</v>
      </c>
      <c r="BB17" s="88" t="s">
        <v>101</v>
      </c>
      <c r="BC17" s="44" t="s">
        <v>100</v>
      </c>
      <c r="BD17" s="64"/>
      <c r="BE17" s="89" t="s">
        <v>99</v>
      </c>
      <c r="BF17" s="44" t="s">
        <v>100</v>
      </c>
      <c r="BG17" s="88" t="s">
        <v>101</v>
      </c>
      <c r="BH17" s="44" t="s">
        <v>100</v>
      </c>
      <c r="BI17" s="64"/>
      <c r="BJ17" s="89" t="s">
        <v>99</v>
      </c>
      <c r="BK17" s="44" t="s">
        <v>100</v>
      </c>
      <c r="BL17" s="88" t="s">
        <v>101</v>
      </c>
      <c r="BM17" s="44" t="s">
        <v>100</v>
      </c>
      <c r="BN17" s="64"/>
      <c r="BO17" s="89" t="s">
        <v>99</v>
      </c>
      <c r="BP17" s="44" t="s">
        <v>100</v>
      </c>
      <c r="BQ17" s="88" t="s">
        <v>101</v>
      </c>
      <c r="BR17" s="44" t="s">
        <v>100</v>
      </c>
      <c r="BS17" s="64"/>
      <c r="BT17" s="89" t="s">
        <v>99</v>
      </c>
      <c r="BU17" s="44" t="s">
        <v>100</v>
      </c>
      <c r="BV17" s="88" t="s">
        <v>101</v>
      </c>
      <c r="BW17" s="44" t="s">
        <v>100</v>
      </c>
      <c r="BX17" s="64"/>
      <c r="BY17" s="89" t="s">
        <v>99</v>
      </c>
      <c r="BZ17" s="44" t="s">
        <v>100</v>
      </c>
      <c r="CA17" s="88" t="s">
        <v>101</v>
      </c>
      <c r="CB17" s="44" t="s">
        <v>100</v>
      </c>
      <c r="CC17" s="64"/>
    </row>
    <row r="18" spans="1:81" ht="12.75">
      <c r="A18" s="8"/>
      <c r="B18" s="8"/>
      <c r="C18" s="8"/>
      <c r="D18" s="9"/>
      <c r="E18" s="8"/>
      <c r="F18" s="10"/>
      <c r="G18" s="8"/>
      <c r="H18" s="8"/>
      <c r="I18" s="8"/>
      <c r="J18" s="9"/>
      <c r="K18" s="8"/>
      <c r="L18" s="10"/>
      <c r="N18" s="54"/>
      <c r="O18" s="55"/>
      <c r="P18" s="8"/>
      <c r="Q18" s="9"/>
      <c r="R18" s="8"/>
      <c r="S18" s="10"/>
      <c r="T18" s="34"/>
      <c r="U18" s="54"/>
      <c r="V18" s="9"/>
      <c r="W18" s="8"/>
      <c r="X18" s="10"/>
      <c r="Y18" s="34"/>
      <c r="Z18" s="54"/>
      <c r="AA18" s="9"/>
      <c r="AB18" s="8"/>
      <c r="AC18" s="10"/>
      <c r="AD18" s="34"/>
      <c r="AE18" s="54"/>
      <c r="AF18" s="9"/>
      <c r="AG18" s="8"/>
      <c r="AH18" s="10"/>
      <c r="AI18" s="34"/>
      <c r="AJ18" s="54"/>
      <c r="AK18" s="9"/>
      <c r="AL18" s="8"/>
      <c r="AM18" s="10"/>
      <c r="AN18" s="34"/>
      <c r="AO18" s="54"/>
      <c r="AP18" s="9"/>
      <c r="AQ18" s="8"/>
      <c r="AR18" s="10"/>
      <c r="AS18" s="34"/>
      <c r="AT18" s="54"/>
      <c r="AU18" s="9"/>
      <c r="AV18" s="8"/>
      <c r="AW18" s="10"/>
      <c r="AX18" s="34"/>
      <c r="AY18" s="54"/>
      <c r="AZ18" s="9"/>
      <c r="BA18" s="8"/>
      <c r="BB18" s="10"/>
      <c r="BC18" s="34"/>
      <c r="BD18" s="54"/>
      <c r="BE18" s="9"/>
      <c r="BF18" s="8"/>
      <c r="BG18" s="10"/>
      <c r="BH18" s="34"/>
      <c r="BI18" s="54"/>
      <c r="BJ18" s="9"/>
      <c r="BK18" s="8"/>
      <c r="BL18" s="10"/>
      <c r="BM18" s="34"/>
      <c r="BN18" s="54"/>
      <c r="BO18" s="9"/>
      <c r="BP18" s="8"/>
      <c r="BQ18" s="10"/>
      <c r="BR18" s="34"/>
      <c r="BS18" s="54"/>
      <c r="BT18" s="9"/>
      <c r="BU18" s="8"/>
      <c r="BV18" s="10"/>
      <c r="BW18" s="34"/>
      <c r="BX18" s="54"/>
      <c r="BY18" s="9"/>
      <c r="BZ18" s="8"/>
      <c r="CA18" s="10"/>
      <c r="CB18" s="34"/>
      <c r="CC18" s="54"/>
    </row>
    <row r="19" spans="1:81" ht="12.75">
      <c r="A19" s="8" t="s">
        <v>52</v>
      </c>
      <c r="B19" s="8"/>
      <c r="C19" s="8"/>
      <c r="D19" s="9">
        <v>318578.22</v>
      </c>
      <c r="E19" s="14">
        <f>+D19/$D$33</f>
        <v>0.0123817345264067</v>
      </c>
      <c r="F19" s="10">
        <v>36</v>
      </c>
      <c r="G19" s="14">
        <f>+F19/F33</f>
        <v>0.0193756727664155</v>
      </c>
      <c r="H19" s="8"/>
      <c r="I19" s="8"/>
      <c r="J19" s="9">
        <v>333930.75</v>
      </c>
      <c r="K19" s="14">
        <f>+J19/J33</f>
        <v>0.013654307952390646</v>
      </c>
      <c r="L19" s="10">
        <v>37</v>
      </c>
      <c r="M19" s="14">
        <f>+L19/L33</f>
        <v>0.02068194522079374</v>
      </c>
      <c r="N19" s="56"/>
      <c r="O19" s="55"/>
      <c r="P19" s="14">
        <v>0.02068194522079374</v>
      </c>
      <c r="Q19" s="9">
        <v>761007.27</v>
      </c>
      <c r="R19" s="14">
        <v>0.012898671770793737</v>
      </c>
      <c r="S19" s="10">
        <v>91</v>
      </c>
      <c r="T19" s="14">
        <v>0.02169249106078665</v>
      </c>
      <c r="U19" s="56"/>
      <c r="V19" s="9">
        <v>882071.0599999994</v>
      </c>
      <c r="W19" s="14">
        <v>0.013949037187853766</v>
      </c>
      <c r="X19" s="10">
        <v>134</v>
      </c>
      <c r="Y19" s="14">
        <v>0.03041307308216069</v>
      </c>
      <c r="Z19" s="56"/>
      <c r="AA19" s="9">
        <v>676512.47</v>
      </c>
      <c r="AB19" s="14">
        <v>0.010470777643322092</v>
      </c>
      <c r="AC19" s="10">
        <v>92</v>
      </c>
      <c r="AD19" s="14">
        <v>0.020567851553767048</v>
      </c>
      <c r="AE19" s="56"/>
      <c r="AF19" s="9">
        <v>512044.15</v>
      </c>
      <c r="AG19" s="14">
        <v>0.009158313945975029</v>
      </c>
      <c r="AH19" s="10">
        <v>200</v>
      </c>
      <c r="AI19" s="14">
        <v>0.049862877088007976</v>
      </c>
      <c r="AJ19" s="56"/>
      <c r="AK19" s="9">
        <v>363713.08</v>
      </c>
      <c r="AL19" s="14">
        <v>0.007906766135442328</v>
      </c>
      <c r="AM19" s="10">
        <v>236</v>
      </c>
      <c r="AN19" s="14">
        <v>0.06769936890418818</v>
      </c>
      <c r="AO19" s="56"/>
      <c r="AP19" s="9">
        <v>451282.32</v>
      </c>
      <c r="AQ19" s="14">
        <v>0.006191448666491802</v>
      </c>
      <c r="AR19" s="10">
        <v>297</v>
      </c>
      <c r="AS19" s="14">
        <v>0.0659121171770972</v>
      </c>
      <c r="AT19" s="56"/>
      <c r="AU19" s="9">
        <v>293915.27</v>
      </c>
      <c r="AV19" s="14">
        <v>0.004439286380824295</v>
      </c>
      <c r="AW19" s="10">
        <v>49</v>
      </c>
      <c r="AX19" s="14">
        <v>0.012691012691012691</v>
      </c>
      <c r="AY19" s="56"/>
      <c r="AZ19" s="9">
        <v>300647.93</v>
      </c>
      <c r="BA19" s="14">
        <v>0.004617307955440945</v>
      </c>
      <c r="BB19" s="10">
        <v>50</v>
      </c>
      <c r="BC19" s="14">
        <v>0.01353546291283162</v>
      </c>
      <c r="BD19" s="56"/>
      <c r="BE19" s="9">
        <v>347127.15</v>
      </c>
      <c r="BF19" s="14">
        <v>0.0038558575357522905</v>
      </c>
      <c r="BG19" s="10">
        <v>55</v>
      </c>
      <c r="BH19" s="14">
        <v>0.011907339250920112</v>
      </c>
      <c r="BI19" s="56"/>
      <c r="BJ19" s="9">
        <v>817522.34</v>
      </c>
      <c r="BK19" s="14">
        <v>0.008579131337257647</v>
      </c>
      <c r="BL19" s="10">
        <v>107</v>
      </c>
      <c r="BM19" s="14">
        <v>0.0226646896843889</v>
      </c>
      <c r="BN19" s="56"/>
      <c r="BO19" s="9">
        <v>831754.19</v>
      </c>
      <c r="BP19" s="14">
        <v>0.008410799756822922</v>
      </c>
      <c r="BQ19" s="10">
        <v>104</v>
      </c>
      <c r="BR19" s="14">
        <v>0.021867115222876366</v>
      </c>
      <c r="BS19" s="56"/>
      <c r="BT19" s="9">
        <v>1036616.75</v>
      </c>
      <c r="BU19" s="14">
        <v>0.010071087163870387</v>
      </c>
      <c r="BV19" s="10">
        <v>114</v>
      </c>
      <c r="BW19" s="14">
        <v>0.023844384020079483</v>
      </c>
      <c r="BX19" s="56"/>
      <c r="BY19" s="9">
        <v>1033320</v>
      </c>
      <c r="BZ19" s="14">
        <v>0.009569924478425867</v>
      </c>
      <c r="CA19" s="10">
        <v>113</v>
      </c>
      <c r="CB19" s="14">
        <v>0.023380922822263603</v>
      </c>
      <c r="CC19" s="56"/>
    </row>
    <row r="20" spans="1:81" ht="12.75">
      <c r="A20" s="8" t="s">
        <v>53</v>
      </c>
      <c r="B20" s="8"/>
      <c r="C20" s="8"/>
      <c r="D20" s="9">
        <v>976542.68</v>
      </c>
      <c r="E20" s="14">
        <f aca="true" t="shared" si="0" ref="E20:E31">+D20/$D$33</f>
        <v>0.037953919817449326</v>
      </c>
      <c r="F20" s="10">
        <v>98</v>
      </c>
      <c r="G20" s="14">
        <f>+F20/$F$33</f>
        <v>0.0527448869752422</v>
      </c>
      <c r="H20" s="8"/>
      <c r="I20" s="8"/>
      <c r="J20" s="9">
        <v>980182.52</v>
      </c>
      <c r="K20" s="14">
        <f>+J20/$J$33</f>
        <v>0.04007930978991993</v>
      </c>
      <c r="L20" s="10">
        <v>100</v>
      </c>
      <c r="M20" s="14">
        <f>+L20/$L$33</f>
        <v>0.05589714924538849</v>
      </c>
      <c r="N20" s="56"/>
      <c r="O20" s="55"/>
      <c r="P20" s="14">
        <v>0.05589714924538849</v>
      </c>
      <c r="Q20" s="9">
        <v>2318163.23</v>
      </c>
      <c r="R20" s="14">
        <v>0.03929164384315676</v>
      </c>
      <c r="S20" s="10">
        <v>234</v>
      </c>
      <c r="T20" s="14">
        <v>0.05578069129916567</v>
      </c>
      <c r="U20" s="56"/>
      <c r="V20" s="9">
        <v>2462271.38</v>
      </c>
      <c r="W20" s="14">
        <v>0.03893826314425059</v>
      </c>
      <c r="X20" s="10">
        <v>247</v>
      </c>
      <c r="Y20" s="14">
        <v>0.0560599182932365</v>
      </c>
      <c r="Z20" s="56"/>
      <c r="AA20" s="9">
        <v>2457272.1</v>
      </c>
      <c r="AB20" s="14">
        <v>0.03803263193099622</v>
      </c>
      <c r="AC20" s="10">
        <v>258</v>
      </c>
      <c r="AD20" s="14">
        <v>0.05767940979208585</v>
      </c>
      <c r="AE20" s="56"/>
      <c r="AF20" s="9">
        <v>2051260.81</v>
      </c>
      <c r="AG20" s="14">
        <v>0.03668841931512162</v>
      </c>
      <c r="AH20" s="10">
        <v>230</v>
      </c>
      <c r="AI20" s="14">
        <v>0.05734230865120917</v>
      </c>
      <c r="AJ20" s="56"/>
      <c r="AK20" s="9">
        <v>1867768.62</v>
      </c>
      <c r="AL20" s="14">
        <v>0.04060346048994957</v>
      </c>
      <c r="AM20" s="10">
        <v>216</v>
      </c>
      <c r="AN20" s="14">
        <v>0.06196213425129088</v>
      </c>
      <c r="AO20" s="56"/>
      <c r="AP20" s="9">
        <v>2131974.76</v>
      </c>
      <c r="AQ20" s="14">
        <v>0.029250009804940254</v>
      </c>
      <c r="AR20" s="10">
        <v>238</v>
      </c>
      <c r="AS20" s="14">
        <v>0.052818464269862406</v>
      </c>
      <c r="AT20" s="56"/>
      <c r="AU20" s="9">
        <v>2047380.57</v>
      </c>
      <c r="AV20" s="14">
        <v>0.030923567464750227</v>
      </c>
      <c r="AW20" s="10">
        <v>227</v>
      </c>
      <c r="AX20" s="14">
        <v>0.058793058793058794</v>
      </c>
      <c r="AY20" s="56"/>
      <c r="AZ20" s="9">
        <v>1999516.22</v>
      </c>
      <c r="BA20" s="14">
        <v>0.030708284436347873</v>
      </c>
      <c r="BB20" s="10">
        <v>218</v>
      </c>
      <c r="BC20" s="14">
        <v>0.05901461829994586</v>
      </c>
      <c r="BD20" s="56"/>
      <c r="BE20" s="9">
        <v>3156998.81</v>
      </c>
      <c r="BF20" s="14">
        <v>0.03506766224393429</v>
      </c>
      <c r="BG20" s="10">
        <v>285</v>
      </c>
      <c r="BH20" s="14">
        <v>0.061701667027495126</v>
      </c>
      <c r="BI20" s="56"/>
      <c r="BJ20" s="9">
        <v>3794689.33</v>
      </c>
      <c r="BK20" s="14">
        <v>0.03982171073901201</v>
      </c>
      <c r="BL20" s="10">
        <v>311</v>
      </c>
      <c r="BM20" s="14">
        <v>0.06587587375556027</v>
      </c>
      <c r="BN20" s="56"/>
      <c r="BO20" s="9">
        <v>4023932.25</v>
      </c>
      <c r="BP20" s="14">
        <v>0.040690493413410925</v>
      </c>
      <c r="BQ20" s="10">
        <v>317</v>
      </c>
      <c r="BR20" s="14">
        <v>0.06665264928511354</v>
      </c>
      <c r="BS20" s="56"/>
      <c r="BT20" s="9">
        <v>4549791.14</v>
      </c>
      <c r="BU20" s="14">
        <v>0.04420278096832337</v>
      </c>
      <c r="BV20" s="10">
        <v>348</v>
      </c>
      <c r="BW20" s="14">
        <v>0.07278811964024262</v>
      </c>
      <c r="BX20" s="56"/>
      <c r="BY20" s="9">
        <v>4904298.22</v>
      </c>
      <c r="BZ20" s="14">
        <v>0.045420357280492436</v>
      </c>
      <c r="CA20" s="10">
        <v>360</v>
      </c>
      <c r="CB20" s="14">
        <v>0.074487895716946</v>
      </c>
      <c r="CC20" s="56"/>
    </row>
    <row r="21" spans="1:81" ht="12.75">
      <c r="A21" s="8" t="s">
        <v>54</v>
      </c>
      <c r="B21" s="8"/>
      <c r="C21" s="8"/>
      <c r="D21" s="9">
        <v>434495.91</v>
      </c>
      <c r="E21" s="14">
        <f t="shared" si="0"/>
        <v>0.016886945411489516</v>
      </c>
      <c r="F21" s="10">
        <v>34</v>
      </c>
      <c r="G21" s="14">
        <f aca="true" t="shared" si="1" ref="G21:G31">+F21/$F$33</f>
        <v>0.01829924650161464</v>
      </c>
      <c r="H21" s="8"/>
      <c r="I21" s="8"/>
      <c r="J21" s="9">
        <v>395527.62</v>
      </c>
      <c r="K21" s="14">
        <f aca="true" t="shared" si="2" ref="K21:K31">+J21/$J$33</f>
        <v>0.016172981754918183</v>
      </c>
      <c r="L21" s="10">
        <v>32</v>
      </c>
      <c r="M21" s="14">
        <f aca="true" t="shared" si="3" ref="M21:M31">+L21/$L$33</f>
        <v>0.017887087758524316</v>
      </c>
      <c r="N21" s="56"/>
      <c r="O21" s="55"/>
      <c r="P21" s="14">
        <v>0.017887087758524316</v>
      </c>
      <c r="Q21" s="9">
        <v>855653.43</v>
      </c>
      <c r="R21" s="14">
        <v>0.014502874253913287</v>
      </c>
      <c r="S21" s="10">
        <v>82</v>
      </c>
      <c r="T21" s="14">
        <v>0.019547079856972585</v>
      </c>
      <c r="U21" s="56"/>
      <c r="V21" s="9">
        <v>840946.98</v>
      </c>
      <c r="W21" s="14">
        <v>0.01329870259776273</v>
      </c>
      <c r="X21" s="10">
        <v>83</v>
      </c>
      <c r="Y21" s="14">
        <v>0.018837948252383115</v>
      </c>
      <c r="Z21" s="56"/>
      <c r="AA21" s="9">
        <v>858467.34</v>
      </c>
      <c r="AB21" s="14">
        <v>0.013286999175631134</v>
      </c>
      <c r="AC21" s="10">
        <v>87</v>
      </c>
      <c r="AD21" s="14">
        <v>0.019450033534540577</v>
      </c>
      <c r="AE21" s="56"/>
      <c r="AF21" s="9">
        <v>754450.09</v>
      </c>
      <c r="AG21" s="14">
        <v>0.01349393559283729</v>
      </c>
      <c r="AH21" s="10">
        <v>77</v>
      </c>
      <c r="AI21" s="14">
        <v>0.019197207678883072</v>
      </c>
      <c r="AJ21" s="56"/>
      <c r="AK21" s="9">
        <v>719040.8</v>
      </c>
      <c r="AL21" s="14">
        <v>0.015631242757179257</v>
      </c>
      <c r="AM21" s="10">
        <v>79</v>
      </c>
      <c r="AN21" s="14">
        <v>0.022662076878944348</v>
      </c>
      <c r="AO21" s="56"/>
      <c r="AP21" s="9">
        <v>899598.43</v>
      </c>
      <c r="AQ21" s="14">
        <v>0.012342201883294743</v>
      </c>
      <c r="AR21" s="10">
        <v>85</v>
      </c>
      <c r="AS21" s="14">
        <v>0.018863737239236573</v>
      </c>
      <c r="AT21" s="56"/>
      <c r="AU21" s="9">
        <v>804205.88</v>
      </c>
      <c r="AV21" s="14">
        <v>0.01214669864026737</v>
      </c>
      <c r="AW21" s="10">
        <v>76</v>
      </c>
      <c r="AX21" s="14">
        <v>0.019684019684019685</v>
      </c>
      <c r="AY21" s="56"/>
      <c r="AZ21" s="9">
        <v>863544.24</v>
      </c>
      <c r="BA21" s="14">
        <v>0.013262189063557512</v>
      </c>
      <c r="BB21" s="10">
        <v>81</v>
      </c>
      <c r="BC21" s="14">
        <v>0.02192744991878722</v>
      </c>
      <c r="BD21" s="56"/>
      <c r="BE21" s="9">
        <v>1449457.85</v>
      </c>
      <c r="BF21" s="14">
        <v>0.01610044899593078</v>
      </c>
      <c r="BG21" s="10">
        <v>108</v>
      </c>
      <c r="BH21" s="14">
        <v>0.023381684347261313</v>
      </c>
      <c r="BI21" s="56"/>
      <c r="BJ21" s="9">
        <v>1409820.34</v>
      </c>
      <c r="BK21" s="14">
        <v>0.014794744151942357</v>
      </c>
      <c r="BL21" s="10">
        <v>110</v>
      </c>
      <c r="BM21" s="14">
        <v>0.023300148273670832</v>
      </c>
      <c r="BN21" s="56"/>
      <c r="BO21" s="9">
        <v>1656403.32</v>
      </c>
      <c r="BP21" s="14">
        <v>0.016749752280847175</v>
      </c>
      <c r="BQ21" s="10">
        <v>124</v>
      </c>
      <c r="BR21" s="14">
        <v>0.02607232968881413</v>
      </c>
      <c r="BS21" s="56"/>
      <c r="BT21" s="9">
        <v>1681382.72</v>
      </c>
      <c r="BU21" s="14">
        <v>0.016335209641311976</v>
      </c>
      <c r="BV21" s="10">
        <v>123</v>
      </c>
      <c r="BW21" s="14">
        <v>0.025726835390085755</v>
      </c>
      <c r="BX21" s="56"/>
      <c r="BY21" s="9">
        <v>2048681.43</v>
      </c>
      <c r="BZ21" s="14">
        <v>0.018973528592743292</v>
      </c>
      <c r="CA21" s="10">
        <v>135</v>
      </c>
      <c r="CB21" s="14">
        <v>0.027932960893854747</v>
      </c>
      <c r="CC21" s="56"/>
    </row>
    <row r="22" spans="1:81" ht="12.75">
      <c r="A22" s="8" t="s">
        <v>55</v>
      </c>
      <c r="B22" s="8"/>
      <c r="C22" s="8"/>
      <c r="D22" s="9">
        <v>656191.08</v>
      </c>
      <c r="E22" s="14">
        <f t="shared" si="0"/>
        <v>0.025503261808531984</v>
      </c>
      <c r="F22" s="10">
        <v>60</v>
      </c>
      <c r="G22" s="14">
        <f t="shared" si="1"/>
        <v>0.03229278794402583</v>
      </c>
      <c r="H22" s="8"/>
      <c r="I22" s="8"/>
      <c r="J22" s="9">
        <v>610748.68</v>
      </c>
      <c r="K22" s="14">
        <f t="shared" si="2"/>
        <v>0.02497329328980961</v>
      </c>
      <c r="L22" s="10">
        <v>59</v>
      </c>
      <c r="M22" s="14">
        <f t="shared" si="3"/>
        <v>0.03297931805477921</v>
      </c>
      <c r="N22" s="56"/>
      <c r="O22" s="55"/>
      <c r="P22" s="14">
        <v>0.03297931805477921</v>
      </c>
      <c r="Q22" s="9">
        <v>1267614.46</v>
      </c>
      <c r="R22" s="14">
        <v>0.021485396389776867</v>
      </c>
      <c r="S22" s="10">
        <v>117</v>
      </c>
      <c r="T22" s="14">
        <v>0.027890345649582836</v>
      </c>
      <c r="U22" s="56"/>
      <c r="V22" s="9">
        <v>1247167.76</v>
      </c>
      <c r="W22" s="14">
        <v>0.01972266209905162</v>
      </c>
      <c r="X22" s="10">
        <v>121</v>
      </c>
      <c r="Y22" s="14">
        <v>0.02746255106672719</v>
      </c>
      <c r="Z22" s="56"/>
      <c r="AA22" s="9">
        <v>1281244.68</v>
      </c>
      <c r="AB22" s="14">
        <v>0.019830570382493272</v>
      </c>
      <c r="AC22" s="10">
        <v>136</v>
      </c>
      <c r="AD22" s="14">
        <v>0.03040465012295998</v>
      </c>
      <c r="AE22" s="56"/>
      <c r="AF22" s="9">
        <v>1087153.85</v>
      </c>
      <c r="AG22" s="14">
        <v>0.019444605051879702</v>
      </c>
      <c r="AH22" s="10">
        <v>108</v>
      </c>
      <c r="AI22" s="14">
        <v>0.02692595362752431</v>
      </c>
      <c r="AJ22" s="56"/>
      <c r="AK22" s="9">
        <v>889123.06</v>
      </c>
      <c r="AL22" s="14">
        <v>0.01932866450953279</v>
      </c>
      <c r="AM22" s="10">
        <v>88</v>
      </c>
      <c r="AN22" s="14">
        <v>0.025243832472748137</v>
      </c>
      <c r="AO22" s="56"/>
      <c r="AP22" s="9">
        <v>1211505.65</v>
      </c>
      <c r="AQ22" s="14">
        <v>0.016621468887014646</v>
      </c>
      <c r="AR22" s="10">
        <v>94</v>
      </c>
      <c r="AS22" s="14">
        <v>0.020861074123391034</v>
      </c>
      <c r="AT22" s="56"/>
      <c r="AU22" s="9">
        <v>1086865.71</v>
      </c>
      <c r="AV22" s="14">
        <v>0.01641598323281375</v>
      </c>
      <c r="AW22" s="10">
        <v>89</v>
      </c>
      <c r="AX22" s="14">
        <v>0.02305102305102305</v>
      </c>
      <c r="AY22" s="56"/>
      <c r="AZ22" s="9">
        <v>1180842.6</v>
      </c>
      <c r="BA22" s="14">
        <v>0.01813521194409544</v>
      </c>
      <c r="BB22" s="10">
        <v>93</v>
      </c>
      <c r="BC22" s="14">
        <v>0.025175961017866812</v>
      </c>
      <c r="BD22" s="56"/>
      <c r="BE22" s="9">
        <v>1968500.1</v>
      </c>
      <c r="BF22" s="14">
        <v>0.021865924185746167</v>
      </c>
      <c r="BG22" s="10">
        <v>127</v>
      </c>
      <c r="BH22" s="14">
        <v>0.027495128815760987</v>
      </c>
      <c r="BI22" s="56"/>
      <c r="BJ22" s="9">
        <v>2068135.84</v>
      </c>
      <c r="BK22" s="14">
        <v>0.021703148802820083</v>
      </c>
      <c r="BL22" s="10">
        <v>139</v>
      </c>
      <c r="BM22" s="14">
        <v>0.029442914636729507</v>
      </c>
      <c r="BN22" s="56"/>
      <c r="BO22" s="9">
        <v>2223260.38</v>
      </c>
      <c r="BP22" s="14">
        <v>0.022481879969198655</v>
      </c>
      <c r="BQ22" s="10">
        <v>146</v>
      </c>
      <c r="BR22" s="14">
        <v>0.030698065601345668</v>
      </c>
      <c r="BS22" s="56"/>
      <c r="BT22" s="9">
        <v>2375548.86</v>
      </c>
      <c r="BU22" s="14">
        <v>0.02307927170875151</v>
      </c>
      <c r="BV22" s="10">
        <v>159</v>
      </c>
      <c r="BW22" s="14">
        <v>0.033256640870110855</v>
      </c>
      <c r="BX22" s="56"/>
      <c r="BY22" s="9">
        <v>2344165.79</v>
      </c>
      <c r="BZ22" s="14">
        <v>0.02171010875160599</v>
      </c>
      <c r="CA22" s="10">
        <v>152</v>
      </c>
      <c r="CB22" s="14">
        <v>0.031450444858266084</v>
      </c>
      <c r="CC22" s="56"/>
    </row>
    <row r="23" spans="1:81" ht="12.75">
      <c r="A23" s="8" t="s">
        <v>56</v>
      </c>
      <c r="B23" s="8"/>
      <c r="C23" s="8"/>
      <c r="D23" s="9">
        <v>745486.05</v>
      </c>
      <c r="E23" s="14">
        <f t="shared" si="0"/>
        <v>0.0289737646353839</v>
      </c>
      <c r="F23" s="10">
        <v>64</v>
      </c>
      <c r="G23" s="14">
        <f t="shared" si="1"/>
        <v>0.03444564047362755</v>
      </c>
      <c r="H23" s="8"/>
      <c r="I23" s="8"/>
      <c r="J23" s="9">
        <v>721393.93</v>
      </c>
      <c r="K23" s="14">
        <f t="shared" si="2"/>
        <v>0.02949753766373819</v>
      </c>
      <c r="L23" s="10">
        <v>62</v>
      </c>
      <c r="M23" s="14">
        <f t="shared" si="3"/>
        <v>0.03465623253214086</v>
      </c>
      <c r="N23" s="56"/>
      <c r="O23" s="55"/>
      <c r="P23" s="14">
        <v>0.03465623253214086</v>
      </c>
      <c r="Q23" s="9">
        <v>1594507.86</v>
      </c>
      <c r="R23" s="14">
        <v>0.027026067073039565</v>
      </c>
      <c r="S23" s="10">
        <v>144</v>
      </c>
      <c r="T23" s="14">
        <v>0.03432657926102503</v>
      </c>
      <c r="U23" s="56"/>
      <c r="V23" s="9">
        <v>1526559.45</v>
      </c>
      <c r="W23" s="14">
        <v>0.02414095133958891</v>
      </c>
      <c r="X23" s="10">
        <v>143</v>
      </c>
      <c r="Y23" s="14">
        <v>0.0324557421697685</v>
      </c>
      <c r="Z23" s="56"/>
      <c r="AA23" s="9">
        <v>1438205.82</v>
      </c>
      <c r="AB23" s="14">
        <v>0.022259949393913937</v>
      </c>
      <c r="AC23" s="10">
        <v>140</v>
      </c>
      <c r="AD23" s="14">
        <v>0.03129890453834116</v>
      </c>
      <c r="AE23" s="56"/>
      <c r="AF23" s="9">
        <v>1162363.95</v>
      </c>
      <c r="AG23" s="14">
        <v>0.020789797078208237</v>
      </c>
      <c r="AH23" s="10">
        <v>115</v>
      </c>
      <c r="AI23" s="14">
        <v>0.028671154325604586</v>
      </c>
      <c r="AJ23" s="56"/>
      <c r="AK23" s="9">
        <v>1088988.43</v>
      </c>
      <c r="AL23" s="14">
        <v>0.023673541903449037</v>
      </c>
      <c r="AM23" s="10">
        <v>108</v>
      </c>
      <c r="AN23" s="14">
        <v>0.03098106712564544</v>
      </c>
      <c r="AO23" s="56"/>
      <c r="AP23" s="9">
        <v>1781985.95</v>
      </c>
      <c r="AQ23" s="14">
        <v>0.024448275602364903</v>
      </c>
      <c r="AR23" s="10">
        <v>141</v>
      </c>
      <c r="AS23" s="14">
        <v>0.031291611185086554</v>
      </c>
      <c r="AT23" s="56"/>
      <c r="AU23" s="9">
        <v>1543232</v>
      </c>
      <c r="AV23" s="14">
        <v>0.023308924371476983</v>
      </c>
      <c r="AW23" s="10">
        <v>129</v>
      </c>
      <c r="AX23" s="14">
        <v>0.03341103341103341</v>
      </c>
      <c r="AY23" s="56"/>
      <c r="AZ23" s="9">
        <v>1591983.49</v>
      </c>
      <c r="BA23" s="14">
        <v>0.02444945499311316</v>
      </c>
      <c r="BB23" s="10">
        <v>127</v>
      </c>
      <c r="BC23" s="14">
        <v>0.03438007579859231</v>
      </c>
      <c r="BD23" s="56"/>
      <c r="BE23" s="9">
        <v>2462873.58</v>
      </c>
      <c r="BF23" s="14">
        <v>0.027357380870520268</v>
      </c>
      <c r="BG23" s="10">
        <v>169</v>
      </c>
      <c r="BH23" s="14">
        <v>0.036588006061918164</v>
      </c>
      <c r="BI23" s="56"/>
      <c r="BJ23" s="9">
        <v>2669172.77</v>
      </c>
      <c r="BK23" s="14">
        <v>0.02801046850372528</v>
      </c>
      <c r="BL23" s="10">
        <v>180</v>
      </c>
      <c r="BM23" s="14">
        <v>0.03812751535691591</v>
      </c>
      <c r="BN23" s="56"/>
      <c r="BO23" s="9">
        <v>2899641.84</v>
      </c>
      <c r="BP23" s="14">
        <v>0.029321531740940893</v>
      </c>
      <c r="BQ23" s="10">
        <v>189</v>
      </c>
      <c r="BR23" s="14">
        <v>0.03973927670311186</v>
      </c>
      <c r="BS23" s="56"/>
      <c r="BT23" s="9">
        <v>3089760.07</v>
      </c>
      <c r="BU23" s="14">
        <v>0.030018078504342405</v>
      </c>
      <c r="BV23" s="10">
        <v>190</v>
      </c>
      <c r="BW23" s="14">
        <v>0.0397406400334658</v>
      </c>
      <c r="BX23" s="56"/>
      <c r="BY23" s="9">
        <v>3443468.75</v>
      </c>
      <c r="BZ23" s="14">
        <v>0.031891123641582024</v>
      </c>
      <c r="CA23" s="10">
        <v>201</v>
      </c>
      <c r="CB23" s="14">
        <v>0.04158907510862818</v>
      </c>
      <c r="CC23" s="56"/>
    </row>
    <row r="24" spans="1:81" ht="12.75">
      <c r="A24" s="8" t="s">
        <v>57</v>
      </c>
      <c r="B24" s="8"/>
      <c r="C24" s="8"/>
      <c r="D24" s="9">
        <v>811615.78</v>
      </c>
      <c r="E24" s="14">
        <f t="shared" si="0"/>
        <v>0.031543936448017396</v>
      </c>
      <c r="F24" s="10">
        <v>79</v>
      </c>
      <c r="G24" s="14">
        <f t="shared" si="1"/>
        <v>0.042518837459634015</v>
      </c>
      <c r="H24" s="8"/>
      <c r="I24" s="8"/>
      <c r="J24" s="9">
        <v>755053.27</v>
      </c>
      <c r="K24" s="14">
        <f t="shared" si="2"/>
        <v>0.03087385593881235</v>
      </c>
      <c r="L24" s="10">
        <v>73</v>
      </c>
      <c r="M24" s="14">
        <f t="shared" si="3"/>
        <v>0.040804918949133594</v>
      </c>
      <c r="N24" s="56"/>
      <c r="O24" s="55"/>
      <c r="P24" s="14">
        <v>0.040804918949133594</v>
      </c>
      <c r="Q24" s="9">
        <v>2001525.5</v>
      </c>
      <c r="R24" s="14">
        <v>0.033924801356199685</v>
      </c>
      <c r="S24" s="10">
        <v>178</v>
      </c>
      <c r="T24" s="14">
        <v>0.042431466030989275</v>
      </c>
      <c r="U24" s="56"/>
      <c r="V24" s="9">
        <v>2015980.03</v>
      </c>
      <c r="W24" s="14">
        <v>0.03188062921873957</v>
      </c>
      <c r="X24" s="10">
        <v>179</v>
      </c>
      <c r="Y24" s="14">
        <v>0.04062641852019973</v>
      </c>
      <c r="Z24" s="56"/>
      <c r="AA24" s="9">
        <v>2284871.19</v>
      </c>
      <c r="AB24" s="14">
        <v>0.035364282603870936</v>
      </c>
      <c r="AC24" s="10">
        <v>201</v>
      </c>
      <c r="AD24" s="14">
        <v>0.04493628437290409</v>
      </c>
      <c r="AE24" s="56"/>
      <c r="AF24" s="9">
        <v>2099927.43</v>
      </c>
      <c r="AG24" s="14">
        <v>0.03755886024223596</v>
      </c>
      <c r="AH24" s="10">
        <v>177</v>
      </c>
      <c r="AI24" s="14">
        <v>0.044128646222887064</v>
      </c>
      <c r="AJ24" s="56"/>
      <c r="AK24" s="9">
        <v>1972992.26</v>
      </c>
      <c r="AL24" s="14">
        <v>0.042890919366600284</v>
      </c>
      <c r="AM24" s="10">
        <v>168</v>
      </c>
      <c r="AN24" s="14">
        <v>0.04819277108433735</v>
      </c>
      <c r="AO24" s="56"/>
      <c r="AP24" s="9">
        <v>2887325</v>
      </c>
      <c r="AQ24" s="14">
        <v>0.03961317279386978</v>
      </c>
      <c r="AR24" s="10">
        <v>212</v>
      </c>
      <c r="AS24" s="14">
        <v>0.04704837993786063</v>
      </c>
      <c r="AT24" s="56"/>
      <c r="AU24" s="9">
        <v>2799437.48</v>
      </c>
      <c r="AV24" s="14">
        <v>0.0422826098110965</v>
      </c>
      <c r="AW24" s="10">
        <v>194</v>
      </c>
      <c r="AX24" s="14">
        <v>0.05024605024605024</v>
      </c>
      <c r="AY24" s="56"/>
      <c r="AZ24" s="9">
        <v>2758783.15</v>
      </c>
      <c r="BA24" s="14">
        <v>0.042368997471000126</v>
      </c>
      <c r="BB24" s="10">
        <v>195</v>
      </c>
      <c r="BC24" s="14">
        <v>0.052788305360043315</v>
      </c>
      <c r="BD24" s="56"/>
      <c r="BE24" s="9">
        <v>3830270.43</v>
      </c>
      <c r="BF24" s="14">
        <v>0.042546303570563875</v>
      </c>
      <c r="BG24" s="10">
        <v>248</v>
      </c>
      <c r="BH24" s="14">
        <v>0.053691275167785234</v>
      </c>
      <c r="BI24" s="56"/>
      <c r="BJ24" s="9">
        <v>4233638.59</v>
      </c>
      <c r="BK24" s="14">
        <v>0.044428072140624636</v>
      </c>
      <c r="BL24" s="10">
        <v>256</v>
      </c>
      <c r="BM24" s="14">
        <v>0.05422579961872485</v>
      </c>
      <c r="BN24" s="56"/>
      <c r="BO24" s="9">
        <v>4325221.95</v>
      </c>
      <c r="BP24" s="14">
        <v>0.04373717158583257</v>
      </c>
      <c r="BQ24" s="10">
        <v>263</v>
      </c>
      <c r="BR24" s="14">
        <v>0.05529857022708158</v>
      </c>
      <c r="BS24" s="56"/>
      <c r="BT24" s="9">
        <v>4515338.63</v>
      </c>
      <c r="BU24" s="14">
        <v>0.04386806302051467</v>
      </c>
      <c r="BV24" s="10">
        <v>271</v>
      </c>
      <c r="BW24" s="14">
        <v>0.056682702363522276</v>
      </c>
      <c r="BX24" s="56"/>
      <c r="BY24" s="9">
        <v>5321601.73</v>
      </c>
      <c r="BZ24" s="14">
        <v>0.049285145608679234</v>
      </c>
      <c r="CA24" s="10">
        <v>295</v>
      </c>
      <c r="CB24" s="14">
        <v>0.06103869232360853</v>
      </c>
      <c r="CC24" s="56"/>
    </row>
    <row r="25" spans="1:81" ht="12.75">
      <c r="A25" s="8" t="s">
        <v>58</v>
      </c>
      <c r="B25" s="8"/>
      <c r="C25" s="8"/>
      <c r="D25" s="9">
        <v>1346647.47</v>
      </c>
      <c r="E25" s="14">
        <f t="shared" si="0"/>
        <v>0.0523382655418102</v>
      </c>
      <c r="F25" s="10">
        <v>104</v>
      </c>
      <c r="G25" s="14">
        <f t="shared" si="1"/>
        <v>0.05597416576964478</v>
      </c>
      <c r="H25" s="8"/>
      <c r="I25" s="8"/>
      <c r="J25" s="9">
        <v>1196959.16</v>
      </c>
      <c r="K25" s="14">
        <f t="shared" si="2"/>
        <v>0.048943228430070686</v>
      </c>
      <c r="L25" s="10">
        <v>98</v>
      </c>
      <c r="M25" s="14">
        <f t="shared" si="3"/>
        <v>0.05477920626048072</v>
      </c>
      <c r="N25" s="56"/>
      <c r="O25" s="55"/>
      <c r="P25" s="14">
        <v>0.05477920626048072</v>
      </c>
      <c r="Q25" s="9">
        <v>2683182.9</v>
      </c>
      <c r="R25" s="14">
        <v>0.04547853469009108</v>
      </c>
      <c r="S25" s="10">
        <v>218</v>
      </c>
      <c r="T25" s="14">
        <v>0.05196662693682956</v>
      </c>
      <c r="U25" s="56"/>
      <c r="V25" s="9">
        <v>2713796.09</v>
      </c>
      <c r="W25" s="14">
        <v>0.042915865054752145</v>
      </c>
      <c r="X25" s="10">
        <v>225</v>
      </c>
      <c r="Y25" s="14">
        <v>0.051066727190195185</v>
      </c>
      <c r="Z25" s="56"/>
      <c r="AA25" s="9">
        <v>2894930.1</v>
      </c>
      <c r="AB25" s="14">
        <v>0.04480651978234811</v>
      </c>
      <c r="AC25" s="10">
        <v>232</v>
      </c>
      <c r="AD25" s="14">
        <v>0.0518667560921082</v>
      </c>
      <c r="AE25" s="56"/>
      <c r="AF25" s="9">
        <v>2540721.14</v>
      </c>
      <c r="AG25" s="14">
        <v>0.04544280380763179</v>
      </c>
      <c r="AH25" s="10">
        <v>197</v>
      </c>
      <c r="AI25" s="14">
        <v>0.04911493393168786</v>
      </c>
      <c r="AJ25" s="56"/>
      <c r="AK25" s="9">
        <v>2096867.19</v>
      </c>
      <c r="AL25" s="14">
        <v>0.04558383902061514</v>
      </c>
      <c r="AM25" s="10">
        <v>175</v>
      </c>
      <c r="AN25" s="14">
        <v>0.050200803212851405</v>
      </c>
      <c r="AO25" s="56"/>
      <c r="AP25" s="9">
        <v>3049682.45</v>
      </c>
      <c r="AQ25" s="14">
        <v>0.04184066492628376</v>
      </c>
      <c r="AR25" s="10">
        <v>238</v>
      </c>
      <c r="AS25" s="14">
        <v>0.052818464269862406</v>
      </c>
      <c r="AT25" s="56"/>
      <c r="AU25" s="9">
        <v>2849026.22</v>
      </c>
      <c r="AV25" s="14">
        <v>0.04303159647696194</v>
      </c>
      <c r="AW25" s="10">
        <v>224</v>
      </c>
      <c r="AX25" s="14">
        <v>0.05801605801605802</v>
      </c>
      <c r="AY25" s="56"/>
      <c r="AZ25" s="9">
        <v>2900016.57</v>
      </c>
      <c r="BA25" s="14">
        <v>0.04453804015737466</v>
      </c>
      <c r="BB25" s="10">
        <v>219</v>
      </c>
      <c r="BC25" s="14">
        <v>0.05928532755820249</v>
      </c>
      <c r="BD25" s="56"/>
      <c r="BE25" s="9">
        <v>4790156.46</v>
      </c>
      <c r="BF25" s="14">
        <v>0.05320863229431498</v>
      </c>
      <c r="BG25" s="10">
        <v>287</v>
      </c>
      <c r="BH25" s="14">
        <v>0.062134661182074044</v>
      </c>
      <c r="BI25" s="56"/>
      <c r="BJ25" s="9">
        <v>4986732.14</v>
      </c>
      <c r="BK25" s="14">
        <v>0.052331083665290296</v>
      </c>
      <c r="BL25" s="10">
        <v>295</v>
      </c>
      <c r="BM25" s="14">
        <v>0.06248676127938996</v>
      </c>
      <c r="BN25" s="56"/>
      <c r="BO25" s="9">
        <v>4879901.03</v>
      </c>
      <c r="BP25" s="14">
        <v>0.0493461540559765</v>
      </c>
      <c r="BQ25" s="10">
        <v>286</v>
      </c>
      <c r="BR25" s="14">
        <v>0.06013456686291001</v>
      </c>
      <c r="BS25" s="56"/>
      <c r="BT25" s="9">
        <v>5369727.010000001</v>
      </c>
      <c r="BU25" s="14">
        <v>0.05216873908693751</v>
      </c>
      <c r="BV25" s="10">
        <v>292</v>
      </c>
      <c r="BW25" s="14">
        <v>0.06107508889353692</v>
      </c>
      <c r="BX25" s="56"/>
      <c r="BY25" s="9">
        <v>5998030.649999999</v>
      </c>
      <c r="BZ25" s="14">
        <v>0.055549781616327565</v>
      </c>
      <c r="CA25" s="10">
        <v>310</v>
      </c>
      <c r="CB25" s="14">
        <v>0.06414235464514795</v>
      </c>
      <c r="CC25" s="56"/>
    </row>
    <row r="26" spans="1:81" ht="12.75">
      <c r="A26" s="8" t="s">
        <v>59</v>
      </c>
      <c r="B26" s="8"/>
      <c r="C26" s="8"/>
      <c r="D26" s="9">
        <v>1485325.34</v>
      </c>
      <c r="E26" s="14">
        <f t="shared" si="0"/>
        <v>0.057728064540083036</v>
      </c>
      <c r="F26" s="10">
        <v>120</v>
      </c>
      <c r="G26" s="14">
        <f t="shared" si="1"/>
        <v>0.06458557588805167</v>
      </c>
      <c r="H26" s="8"/>
      <c r="I26" s="8"/>
      <c r="J26" s="9">
        <v>1402699.23</v>
      </c>
      <c r="K26" s="14">
        <f t="shared" si="2"/>
        <v>0.057355865702698045</v>
      </c>
      <c r="L26" s="10">
        <v>117</v>
      </c>
      <c r="M26" s="14">
        <f t="shared" si="3"/>
        <v>0.06539966461710453</v>
      </c>
      <c r="N26" s="56"/>
      <c r="O26" s="55"/>
      <c r="P26" s="14">
        <v>0.06539966461710453</v>
      </c>
      <c r="Q26" s="9">
        <v>3322980.41</v>
      </c>
      <c r="R26" s="14">
        <v>0.056322764970914936</v>
      </c>
      <c r="S26" s="10">
        <v>283</v>
      </c>
      <c r="T26" s="14">
        <v>0.06746126340882003</v>
      </c>
      <c r="U26" s="56"/>
      <c r="V26" s="9">
        <v>3465639</v>
      </c>
      <c r="W26" s="14">
        <v>0.05480547938017188</v>
      </c>
      <c r="X26" s="10">
        <v>277</v>
      </c>
      <c r="Y26" s="14">
        <v>0.0628688152519292</v>
      </c>
      <c r="Z26" s="56"/>
      <c r="AA26" s="9">
        <v>3409230.17</v>
      </c>
      <c r="AB26" s="14">
        <v>0.05276664160377586</v>
      </c>
      <c r="AC26" s="10">
        <v>288</v>
      </c>
      <c r="AD26" s="14">
        <v>0.06438631790744467</v>
      </c>
      <c r="AE26" s="56"/>
      <c r="AF26" s="9">
        <v>2894670.35</v>
      </c>
      <c r="AG26" s="14">
        <v>0.05177346491587766</v>
      </c>
      <c r="AH26" s="10">
        <v>242</v>
      </c>
      <c r="AI26" s="14">
        <v>0.060334081276489655</v>
      </c>
      <c r="AJ26" s="56"/>
      <c r="AK26" s="9">
        <v>2609005.75</v>
      </c>
      <c r="AL26" s="14">
        <v>0.05671722972204995</v>
      </c>
      <c r="AM26" s="10">
        <v>213</v>
      </c>
      <c r="AN26" s="14">
        <v>0.06110154905335628</v>
      </c>
      <c r="AO26" s="56"/>
      <c r="AP26" s="9">
        <v>4076144.34</v>
      </c>
      <c r="AQ26" s="14">
        <v>0.05592339278507769</v>
      </c>
      <c r="AR26" s="10">
        <v>268</v>
      </c>
      <c r="AS26" s="14">
        <v>0.05947625388371061</v>
      </c>
      <c r="AT26" s="56"/>
      <c r="AU26" s="9">
        <v>3661011.37</v>
      </c>
      <c r="AV26" s="14">
        <v>0.05529579295041008</v>
      </c>
      <c r="AW26" s="10">
        <v>247</v>
      </c>
      <c r="AX26" s="14">
        <v>0.06397306397306397</v>
      </c>
      <c r="AY26" s="56"/>
      <c r="AZ26" s="9">
        <v>3920848.84</v>
      </c>
      <c r="BA26" s="14">
        <v>0.060215836313968346</v>
      </c>
      <c r="BB26" s="10">
        <v>245</v>
      </c>
      <c r="BC26" s="14">
        <v>0.06632376827287494</v>
      </c>
      <c r="BD26" s="56"/>
      <c r="BE26" s="9">
        <v>5457641.520000004</v>
      </c>
      <c r="BF26" s="14">
        <v>0.06062299702667048</v>
      </c>
      <c r="BG26" s="10">
        <v>318</v>
      </c>
      <c r="BH26" s="14">
        <v>0.0688460705780472</v>
      </c>
      <c r="BI26" s="56"/>
      <c r="BJ26" s="9">
        <v>6503769.400000003</v>
      </c>
      <c r="BK26" s="14">
        <v>0.06825096898249582</v>
      </c>
      <c r="BL26" s="10">
        <v>360</v>
      </c>
      <c r="BM26" s="14">
        <v>0.07625503071383181</v>
      </c>
      <c r="BN26" s="56"/>
      <c r="BO26" s="9">
        <v>6525830.339999998</v>
      </c>
      <c r="BP26" s="14">
        <v>0.06598999187096327</v>
      </c>
      <c r="BQ26" s="10">
        <v>346</v>
      </c>
      <c r="BR26" s="14">
        <v>0.0727502102607233</v>
      </c>
      <c r="BS26" s="56"/>
      <c r="BT26" s="9">
        <v>6914685.700000006</v>
      </c>
      <c r="BU26" s="14">
        <v>0.06717854249940317</v>
      </c>
      <c r="BV26" s="10">
        <v>361</v>
      </c>
      <c r="BW26" s="14">
        <v>0.07550721606358503</v>
      </c>
      <c r="BX26" s="56"/>
      <c r="BY26" s="9">
        <v>7868677.690000002</v>
      </c>
      <c r="BZ26" s="14">
        <v>0.07287447377228208</v>
      </c>
      <c r="CA26" s="10">
        <v>376</v>
      </c>
      <c r="CB26" s="14">
        <v>0.07779846885992138</v>
      </c>
      <c r="CC26" s="56"/>
    </row>
    <row r="27" spans="1:81" ht="12.75">
      <c r="A27" s="8" t="s">
        <v>60</v>
      </c>
      <c r="B27" s="8"/>
      <c r="C27" s="8"/>
      <c r="D27" s="9">
        <v>2394383.46</v>
      </c>
      <c r="E27" s="14">
        <f t="shared" si="0"/>
        <v>0.09305915626039701</v>
      </c>
      <c r="F27" s="10">
        <v>173</v>
      </c>
      <c r="G27" s="14">
        <f t="shared" si="1"/>
        <v>0.09311087190527449</v>
      </c>
      <c r="H27" s="8"/>
      <c r="I27" s="8"/>
      <c r="J27" s="9">
        <v>2402195.5</v>
      </c>
      <c r="K27" s="14">
        <f t="shared" si="2"/>
        <v>0.09822490776559818</v>
      </c>
      <c r="L27" s="10">
        <v>175</v>
      </c>
      <c r="M27" s="14">
        <f t="shared" si="3"/>
        <v>0.09782001117942984</v>
      </c>
      <c r="N27" s="56"/>
      <c r="O27" s="55"/>
      <c r="P27" s="14">
        <v>0.09782001117942984</v>
      </c>
      <c r="Q27" s="9">
        <v>5182967.37</v>
      </c>
      <c r="R27" s="14">
        <v>0.08784856274022733</v>
      </c>
      <c r="S27" s="10">
        <v>389</v>
      </c>
      <c r="T27" s="14">
        <v>0.09272943980929678</v>
      </c>
      <c r="U27" s="56"/>
      <c r="V27" s="9">
        <v>5224750.58</v>
      </c>
      <c r="W27" s="14">
        <v>0.08262400099339003</v>
      </c>
      <c r="X27" s="10">
        <v>388</v>
      </c>
      <c r="Y27" s="14">
        <v>0.08806173399909215</v>
      </c>
      <c r="Z27" s="56"/>
      <c r="AA27" s="9">
        <v>5077206.68</v>
      </c>
      <c r="AB27" s="14">
        <v>0.07858288583426934</v>
      </c>
      <c r="AC27" s="10">
        <v>389</v>
      </c>
      <c r="AD27" s="14">
        <v>0.08696624189581936</v>
      </c>
      <c r="AE27" s="56"/>
      <c r="AF27" s="9">
        <v>4441758.87</v>
      </c>
      <c r="AG27" s="14">
        <v>0.07944436471694731</v>
      </c>
      <c r="AH27" s="10">
        <v>337</v>
      </c>
      <c r="AI27" s="14">
        <v>0.08401894789329345</v>
      </c>
      <c r="AJ27" s="56"/>
      <c r="AK27" s="9">
        <v>3711598.59</v>
      </c>
      <c r="AL27" s="14">
        <v>0.08068651817462136</v>
      </c>
      <c r="AM27" s="10">
        <v>289</v>
      </c>
      <c r="AN27" s="14">
        <v>0.08290304073436604</v>
      </c>
      <c r="AO27" s="56"/>
      <c r="AP27" s="9">
        <v>5548724.330000001</v>
      </c>
      <c r="AQ27" s="14">
        <v>0.07612671786855985</v>
      </c>
      <c r="AR27" s="10">
        <v>373</v>
      </c>
      <c r="AS27" s="14">
        <v>0.08277851753217931</v>
      </c>
      <c r="AT27" s="56"/>
      <c r="AU27" s="9">
        <v>5525211.150000006</v>
      </c>
      <c r="AV27" s="14">
        <v>0.08345260390647129</v>
      </c>
      <c r="AW27" s="10">
        <v>361</v>
      </c>
      <c r="AX27" s="14">
        <v>0.0934990934990935</v>
      </c>
      <c r="AY27" s="56"/>
      <c r="AZ27" s="9">
        <v>5517836.690000002</v>
      </c>
      <c r="BA27" s="14">
        <v>0.08474214755298978</v>
      </c>
      <c r="BB27" s="10">
        <v>345</v>
      </c>
      <c r="BC27" s="14">
        <v>0.09339469409853816</v>
      </c>
      <c r="BD27" s="56"/>
      <c r="BE27" s="9">
        <v>8371269.549999995</v>
      </c>
      <c r="BF27" s="14">
        <v>0.09298731827280339</v>
      </c>
      <c r="BG27" s="10">
        <v>457</v>
      </c>
      <c r="BH27" s="14">
        <v>0.09893916432128166</v>
      </c>
      <c r="BI27" s="56"/>
      <c r="BJ27" s="9">
        <v>9040168.530000001</v>
      </c>
      <c r="BK27" s="14">
        <v>0.0948681024787817</v>
      </c>
      <c r="BL27" s="10">
        <v>469</v>
      </c>
      <c r="BM27" s="14">
        <v>0.099343359457742</v>
      </c>
      <c r="BN27" s="56"/>
      <c r="BO27" s="9">
        <v>9140997.600000009</v>
      </c>
      <c r="BP27" s="14">
        <v>0.09243488198261918</v>
      </c>
      <c r="BQ27" s="10">
        <v>462</v>
      </c>
      <c r="BR27" s="14">
        <v>0.09714045416316232</v>
      </c>
      <c r="BS27" s="56"/>
      <c r="BT27" s="9">
        <v>10247101.850000003</v>
      </c>
      <c r="BU27" s="14">
        <v>0.09955410802344024</v>
      </c>
      <c r="BV27" s="10">
        <v>483</v>
      </c>
      <c r="BW27" s="14">
        <v>0.10102489019033675</v>
      </c>
      <c r="BX27" s="56"/>
      <c r="BY27" s="9">
        <v>10947716.089999994</v>
      </c>
      <c r="BZ27" s="14">
        <v>0.10139048522485547</v>
      </c>
      <c r="CA27" s="10">
        <v>487</v>
      </c>
      <c r="CB27" s="14">
        <v>0.10076557003931305</v>
      </c>
      <c r="CC27" s="56"/>
    </row>
    <row r="28" spans="1:81" ht="12.75">
      <c r="A28" s="8" t="s">
        <v>61</v>
      </c>
      <c r="B28" s="8"/>
      <c r="C28" s="8"/>
      <c r="D28" s="9">
        <v>3361228.27</v>
      </c>
      <c r="E28" s="14">
        <f t="shared" si="0"/>
        <v>0.13063616251542012</v>
      </c>
      <c r="F28" s="10">
        <v>243</v>
      </c>
      <c r="G28" s="14">
        <f t="shared" si="1"/>
        <v>0.13078579117330463</v>
      </c>
      <c r="H28" s="8"/>
      <c r="I28" s="8"/>
      <c r="J28" s="9">
        <v>3205978.9</v>
      </c>
      <c r="K28" s="14">
        <f t="shared" si="2"/>
        <v>0.1310913211480722</v>
      </c>
      <c r="L28" s="10">
        <v>233</v>
      </c>
      <c r="M28" s="14">
        <f t="shared" si="3"/>
        <v>0.13024035774175516</v>
      </c>
      <c r="N28" s="56"/>
      <c r="O28" s="55"/>
      <c r="P28" s="14">
        <v>0.13024035774175516</v>
      </c>
      <c r="Q28" s="9">
        <v>7181139.850000001</v>
      </c>
      <c r="R28" s="14">
        <v>0.1217165321762524</v>
      </c>
      <c r="S28" s="10">
        <v>511</v>
      </c>
      <c r="T28" s="14">
        <v>0.12181168057210966</v>
      </c>
      <c r="U28" s="56"/>
      <c r="V28" s="9">
        <v>7682273.310000005</v>
      </c>
      <c r="W28" s="14">
        <v>0.12148716917256826</v>
      </c>
      <c r="X28" s="10">
        <v>546</v>
      </c>
      <c r="Y28" s="14">
        <v>0.12392192464820699</v>
      </c>
      <c r="Z28" s="56"/>
      <c r="AA28" s="9">
        <v>7810175.529999998</v>
      </c>
      <c r="AB28" s="14">
        <v>0.12088263698959646</v>
      </c>
      <c r="AC28" s="10">
        <v>543</v>
      </c>
      <c r="AD28" s="14">
        <v>0.12139503688799463</v>
      </c>
      <c r="AE28" s="56"/>
      <c r="AF28" s="9">
        <v>6733813.899999995</v>
      </c>
      <c r="AG28" s="14">
        <v>0.12043957879407562</v>
      </c>
      <c r="AH28" s="10">
        <v>476</v>
      </c>
      <c r="AI28" s="14">
        <v>0.11867364746945899</v>
      </c>
      <c r="AJ28" s="56"/>
      <c r="AK28" s="9">
        <v>5612569.639999995</v>
      </c>
      <c r="AL28" s="14">
        <v>0.12201176697402172</v>
      </c>
      <c r="AM28" s="10">
        <v>417</v>
      </c>
      <c r="AN28" s="14">
        <v>0.11962134251290878</v>
      </c>
      <c r="AO28" s="56"/>
      <c r="AP28" s="9">
        <v>7751911.959999998</v>
      </c>
      <c r="AQ28" s="14">
        <v>0.10635374540598856</v>
      </c>
      <c r="AR28" s="10">
        <v>489</v>
      </c>
      <c r="AS28" s="14">
        <v>0.1085219707057257</v>
      </c>
      <c r="AT28" s="56"/>
      <c r="AU28" s="9">
        <v>7051378.139999997</v>
      </c>
      <c r="AV28" s="14">
        <v>0.1065037789392301</v>
      </c>
      <c r="AW28" s="10">
        <v>444</v>
      </c>
      <c r="AX28" s="14">
        <v>0.11499611499611499</v>
      </c>
      <c r="AY28" s="56"/>
      <c r="AZ28" s="9">
        <v>6743973.199999999</v>
      </c>
      <c r="BA28" s="14">
        <v>0.1035729768957349</v>
      </c>
      <c r="BB28" s="10">
        <v>431</v>
      </c>
      <c r="BC28" s="14">
        <v>0.11667569030860855</v>
      </c>
      <c r="BD28" s="56"/>
      <c r="BE28" s="9">
        <v>9542284.490000002</v>
      </c>
      <c r="BF28" s="14">
        <v>0.10599484816747612</v>
      </c>
      <c r="BG28" s="10">
        <v>546</v>
      </c>
      <c r="BH28" s="14">
        <v>0.1182074042000433</v>
      </c>
      <c r="BI28" s="56"/>
      <c r="BJ28" s="9">
        <v>10095312.599999994</v>
      </c>
      <c r="BK28" s="14">
        <v>0.10594085133633405</v>
      </c>
      <c r="BL28" s="10">
        <v>536</v>
      </c>
      <c r="BM28" s="14">
        <v>0.11353526795170514</v>
      </c>
      <c r="BN28" s="56"/>
      <c r="BO28" s="9">
        <v>9980600.550000004</v>
      </c>
      <c r="BP28" s="14">
        <v>0.10092504935729484</v>
      </c>
      <c r="BQ28" s="10">
        <v>515</v>
      </c>
      <c r="BR28" s="14">
        <v>0.10828427249789739</v>
      </c>
      <c r="BS28" s="56"/>
      <c r="BT28" s="9">
        <v>10193144.559999993</v>
      </c>
      <c r="BU28" s="14">
        <v>0.09902989445008602</v>
      </c>
      <c r="BV28" s="10">
        <v>502</v>
      </c>
      <c r="BW28" s="14">
        <v>0.10499895419368332</v>
      </c>
      <c r="BX28" s="56"/>
      <c r="BY28" s="9">
        <v>10021123.769999988</v>
      </c>
      <c r="BZ28" s="14">
        <v>0.09280900173020766</v>
      </c>
      <c r="CA28" s="10">
        <v>476</v>
      </c>
      <c r="CB28" s="14">
        <v>0.09848955100351749</v>
      </c>
      <c r="CC28" s="56"/>
    </row>
    <row r="29" spans="1:81" ht="12.75">
      <c r="A29" s="8" t="s">
        <v>62</v>
      </c>
      <c r="B29" s="8"/>
      <c r="C29" s="8"/>
      <c r="D29" s="9">
        <v>4375613.3</v>
      </c>
      <c r="E29" s="14">
        <f t="shared" si="0"/>
        <v>0.17006084807308658</v>
      </c>
      <c r="F29" s="10">
        <v>304</v>
      </c>
      <c r="G29" s="14">
        <f t="shared" si="1"/>
        <v>0.16361679224973089</v>
      </c>
      <c r="H29" s="8"/>
      <c r="I29" s="8"/>
      <c r="J29" s="9">
        <v>4204513.5</v>
      </c>
      <c r="K29" s="14">
        <f t="shared" si="2"/>
        <v>0.17192104087144963</v>
      </c>
      <c r="L29" s="10">
        <v>291</v>
      </c>
      <c r="M29" s="14">
        <f t="shared" si="3"/>
        <v>0.1626607043040805</v>
      </c>
      <c r="N29" s="56"/>
      <c r="O29" s="55"/>
      <c r="P29" s="14">
        <v>0.1626607043040805</v>
      </c>
      <c r="Q29" s="9">
        <v>11486134.420000013</v>
      </c>
      <c r="R29" s="14">
        <v>0.19468391911524904</v>
      </c>
      <c r="S29" s="10">
        <v>741</v>
      </c>
      <c r="T29" s="14">
        <v>0.1766388557806913</v>
      </c>
      <c r="U29" s="56"/>
      <c r="V29" s="9">
        <v>12480565.419999992</v>
      </c>
      <c r="W29" s="14">
        <v>0.1973671726278173</v>
      </c>
      <c r="X29" s="10">
        <v>784</v>
      </c>
      <c r="Y29" s="14">
        <v>0.17793917385383567</v>
      </c>
      <c r="Z29" s="56"/>
      <c r="AA29" s="9">
        <v>12308424.119999997</v>
      </c>
      <c r="AB29" s="14">
        <v>0.19050465115627857</v>
      </c>
      <c r="AC29" s="10">
        <v>789</v>
      </c>
      <c r="AD29" s="14">
        <v>0.17639168343393696</v>
      </c>
      <c r="AE29" s="56"/>
      <c r="AF29" s="9">
        <v>10459301.13</v>
      </c>
      <c r="AG29" s="14">
        <v>0.18707285964312143</v>
      </c>
      <c r="AH29" s="10">
        <v>678</v>
      </c>
      <c r="AI29" s="14">
        <v>0.16903515332834704</v>
      </c>
      <c r="AJ29" s="56"/>
      <c r="AK29" s="9">
        <v>8279000.009999998</v>
      </c>
      <c r="AL29" s="14">
        <v>0.17997735169269885</v>
      </c>
      <c r="AM29" s="10">
        <v>557</v>
      </c>
      <c r="AN29" s="14">
        <v>0.15978198508318991</v>
      </c>
      <c r="AO29" s="56"/>
      <c r="AP29" s="9">
        <v>10412111.57</v>
      </c>
      <c r="AQ29" s="14">
        <v>0.14285083070712895</v>
      </c>
      <c r="AR29" s="10">
        <v>636</v>
      </c>
      <c r="AS29" s="14">
        <v>0.1411451398135819</v>
      </c>
      <c r="AT29" s="56"/>
      <c r="AU29" s="9">
        <v>8968102.529999997</v>
      </c>
      <c r="AV29" s="14">
        <v>0.13545391984317415</v>
      </c>
      <c r="AW29" s="10">
        <v>551</v>
      </c>
      <c r="AX29" s="14">
        <v>0.1427091427091427</v>
      </c>
      <c r="AY29" s="56"/>
      <c r="AZ29" s="9">
        <v>8636542.43000001</v>
      </c>
      <c r="BA29" s="14">
        <v>0.13263878473915428</v>
      </c>
      <c r="BB29" s="10">
        <v>499</v>
      </c>
      <c r="BC29" s="14">
        <v>0.13508391987005955</v>
      </c>
      <c r="BD29" s="56"/>
      <c r="BE29" s="9">
        <v>11523684.97</v>
      </c>
      <c r="BF29" s="14">
        <v>0.1280040686279074</v>
      </c>
      <c r="BG29" s="10">
        <v>606</v>
      </c>
      <c r="BH29" s="14">
        <v>0.1311972288374107</v>
      </c>
      <c r="BI29" s="56"/>
      <c r="BJ29" s="9">
        <v>12171292.730000006</v>
      </c>
      <c r="BK29" s="14">
        <v>0.12772631861641756</v>
      </c>
      <c r="BL29" s="10">
        <v>615</v>
      </c>
      <c r="BM29" s="14">
        <v>0.13026901080279601</v>
      </c>
      <c r="BN29" s="56"/>
      <c r="BO29" s="9">
        <v>12723023.629999982</v>
      </c>
      <c r="BP29" s="14">
        <v>0.12865676583277105</v>
      </c>
      <c r="BQ29" s="10">
        <v>606</v>
      </c>
      <c r="BR29" s="14">
        <v>0.12741799831791423</v>
      </c>
      <c r="BS29" s="56"/>
      <c r="BT29" s="9">
        <v>12758301.6</v>
      </c>
      <c r="BU29" s="14">
        <v>0.12395127464084199</v>
      </c>
      <c r="BV29" s="10">
        <v>582</v>
      </c>
      <c r="BW29" s="14">
        <v>0.12173185526040577</v>
      </c>
      <c r="BX29" s="56"/>
      <c r="BY29" s="9">
        <v>13188106.730000006</v>
      </c>
      <c r="BZ29" s="14">
        <v>0.1221394973672434</v>
      </c>
      <c r="CA29" s="10">
        <v>581</v>
      </c>
      <c r="CB29" s="14">
        <v>0.12021518725429339</v>
      </c>
      <c r="CC29" s="56"/>
    </row>
    <row r="30" spans="1:81" ht="12.75">
      <c r="A30" s="8" t="s">
        <v>80</v>
      </c>
      <c r="B30" s="8"/>
      <c r="C30" s="8"/>
      <c r="D30" s="9">
        <v>4841823.08</v>
      </c>
      <c r="E30" s="14">
        <f t="shared" si="0"/>
        <v>0.18818037215597735</v>
      </c>
      <c r="F30" s="10">
        <v>323</v>
      </c>
      <c r="G30" s="14">
        <f t="shared" si="1"/>
        <v>0.17384284176533907</v>
      </c>
      <c r="H30" s="8"/>
      <c r="I30" s="8"/>
      <c r="J30" s="9">
        <v>4456771.06</v>
      </c>
      <c r="K30" s="14">
        <f t="shared" si="2"/>
        <v>0.18223576153601453</v>
      </c>
      <c r="L30" s="10">
        <v>300</v>
      </c>
      <c r="M30" s="14">
        <f t="shared" si="3"/>
        <v>0.16769144773616546</v>
      </c>
      <c r="N30" s="56"/>
      <c r="O30" s="55"/>
      <c r="P30" s="14">
        <v>0.16769144773616546</v>
      </c>
      <c r="Q30" s="9">
        <v>10287705.179999998</v>
      </c>
      <c r="R30" s="14">
        <v>0.1743711757070527</v>
      </c>
      <c r="S30" s="10">
        <v>659</v>
      </c>
      <c r="T30" s="14">
        <v>0.1570917759237187</v>
      </c>
      <c r="U30" s="56"/>
      <c r="V30" s="9">
        <v>11249551.14999999</v>
      </c>
      <c r="W30" s="14">
        <v>0.17789996118681534</v>
      </c>
      <c r="X30" s="10">
        <v>683</v>
      </c>
      <c r="Y30" s="14">
        <v>0.15501588742623695</v>
      </c>
      <c r="Z30" s="56"/>
      <c r="AA30" s="9">
        <v>12002999.880000003</v>
      </c>
      <c r="AB30" s="14">
        <v>0.1857774222495881</v>
      </c>
      <c r="AC30" s="10">
        <v>703</v>
      </c>
      <c r="AD30" s="14">
        <v>0.15716521350324167</v>
      </c>
      <c r="AE30" s="56"/>
      <c r="AF30" s="9">
        <v>11209652.860000001</v>
      </c>
      <c r="AG30" s="14">
        <v>0.2004934928311883</v>
      </c>
      <c r="AH30" s="10">
        <v>657</v>
      </c>
      <c r="AI30" s="14">
        <v>0.1637995512341062</v>
      </c>
      <c r="AJ30" s="56"/>
      <c r="AK30" s="9">
        <v>9034983.83999999</v>
      </c>
      <c r="AL30" s="14">
        <v>0.19641169973975267</v>
      </c>
      <c r="AM30" s="10">
        <v>535</v>
      </c>
      <c r="AN30" s="14">
        <v>0.15347102696500287</v>
      </c>
      <c r="AO30" s="56"/>
      <c r="AP30" s="9">
        <v>11651386.13999999</v>
      </c>
      <c r="AQ30" s="14">
        <v>0.15985328026873297</v>
      </c>
      <c r="AR30" s="10">
        <v>639</v>
      </c>
      <c r="AS30" s="14">
        <v>0.1418109187749667</v>
      </c>
      <c r="AT30" s="56"/>
      <c r="AU30" s="9">
        <v>9930623.260000002</v>
      </c>
      <c r="AV30" s="14">
        <v>0.14999180066831833</v>
      </c>
      <c r="AW30" s="10">
        <v>542</v>
      </c>
      <c r="AX30" s="14">
        <v>0.14037814037814036</v>
      </c>
      <c r="AY30" s="56"/>
      <c r="AZ30" s="9">
        <v>9565420.420000002</v>
      </c>
      <c r="BA30" s="14">
        <v>0.14690436020099415</v>
      </c>
      <c r="BB30" s="10">
        <v>513</v>
      </c>
      <c r="BC30" s="14">
        <v>0.1388738494856524</v>
      </c>
      <c r="BD30" s="56"/>
      <c r="BE30" s="9">
        <v>12423334.009999994</v>
      </c>
      <c r="BF30" s="14">
        <v>0.13799729021952387</v>
      </c>
      <c r="BG30" s="10">
        <v>598</v>
      </c>
      <c r="BH30" s="14">
        <v>0.12946525221909505</v>
      </c>
      <c r="BI30" s="56"/>
      <c r="BJ30" s="9">
        <v>11487308.649999993</v>
      </c>
      <c r="BK30" s="14">
        <v>0.1205485462574219</v>
      </c>
      <c r="BL30" s="10">
        <v>512</v>
      </c>
      <c r="BM30" s="14">
        <v>0.1084515992374497</v>
      </c>
      <c r="BN30" s="56"/>
      <c r="BO30" s="9">
        <v>11918688.37999998</v>
      </c>
      <c r="BP30" s="14">
        <v>0.12052322973948836</v>
      </c>
      <c r="BQ30" s="10">
        <v>527</v>
      </c>
      <c r="BR30" s="14">
        <v>0.11080740117746005</v>
      </c>
      <c r="BS30" s="56"/>
      <c r="BT30" s="9">
        <v>12137798.550000006</v>
      </c>
      <c r="BU30" s="14">
        <v>0.11792287475052828</v>
      </c>
      <c r="BV30" s="10">
        <v>513</v>
      </c>
      <c r="BW30" s="14">
        <v>0.10729972809035766</v>
      </c>
      <c r="BX30" s="56"/>
      <c r="BY30" s="9">
        <v>12549405.620000008</v>
      </c>
      <c r="BZ30" s="14">
        <v>0.11622427131240391</v>
      </c>
      <c r="CA30" s="10">
        <v>511</v>
      </c>
      <c r="CB30" s="14">
        <v>0.10573142975377613</v>
      </c>
      <c r="CC30" s="56"/>
    </row>
    <row r="31" spans="1:81" ht="12.75">
      <c r="A31" s="8" t="s">
        <v>63</v>
      </c>
      <c r="B31" s="8"/>
      <c r="C31" s="8"/>
      <c r="D31" s="9">
        <v>3981761.7</v>
      </c>
      <c r="E31" s="14">
        <f t="shared" si="0"/>
        <v>0.15475356826594686</v>
      </c>
      <c r="F31" s="10">
        <v>220</v>
      </c>
      <c r="G31" s="14">
        <f t="shared" si="1"/>
        <v>0.11840688912809473</v>
      </c>
      <c r="H31" s="8"/>
      <c r="I31" s="8"/>
      <c r="J31" s="9">
        <v>3790118.73</v>
      </c>
      <c r="K31" s="14">
        <f t="shared" si="2"/>
        <v>0.15497658815650772</v>
      </c>
      <c r="L31" s="10">
        <v>212</v>
      </c>
      <c r="M31" s="14">
        <f t="shared" si="3"/>
        <v>0.11850195640022358</v>
      </c>
      <c r="N31" s="56"/>
      <c r="O31" s="55"/>
      <c r="P31" s="14">
        <v>0.11850195640022358</v>
      </c>
      <c r="Q31" s="9">
        <v>10056304.479999993</v>
      </c>
      <c r="R31" s="14">
        <v>0.1704490559133325</v>
      </c>
      <c r="S31" s="10">
        <v>548</v>
      </c>
      <c r="T31" s="14">
        <v>0.13063170441001193</v>
      </c>
      <c r="U31" s="56"/>
      <c r="V31" s="9">
        <v>11443692.57</v>
      </c>
      <c r="W31" s="14">
        <v>0.18097010599723787</v>
      </c>
      <c r="X31" s="10">
        <v>596</v>
      </c>
      <c r="Y31" s="14">
        <v>0.13527008624602815</v>
      </c>
      <c r="Z31" s="56"/>
      <c r="AA31" s="9">
        <v>12110032.680000002</v>
      </c>
      <c r="AB31" s="14">
        <v>0.18743403125391606</v>
      </c>
      <c r="AC31" s="10">
        <v>615</v>
      </c>
      <c r="AD31" s="14">
        <v>0.1374916163648558</v>
      </c>
      <c r="AE31" s="56"/>
      <c r="AF31" s="9">
        <v>9963189.090000002</v>
      </c>
      <c r="AG31" s="14">
        <v>0.17819950406490007</v>
      </c>
      <c r="AH31" s="10">
        <v>517</v>
      </c>
      <c r="AI31" s="14">
        <v>0.1288955372725006</v>
      </c>
      <c r="AJ31" s="56"/>
      <c r="AK31" s="9">
        <v>7754581.160000005</v>
      </c>
      <c r="AL31" s="14">
        <v>0.16857699951408717</v>
      </c>
      <c r="AM31" s="10">
        <v>405</v>
      </c>
      <c r="AN31" s="14">
        <v>0.11617900172117039</v>
      </c>
      <c r="AO31" s="56"/>
      <c r="AP31" s="9">
        <v>21034368.649999987</v>
      </c>
      <c r="AQ31" s="14">
        <v>0.288584790400252</v>
      </c>
      <c r="AR31" s="10">
        <v>796</v>
      </c>
      <c r="AS31" s="14">
        <v>0.17665335108743896</v>
      </c>
      <c r="AT31" s="56"/>
      <c r="AU31" s="9">
        <v>19647384.549999993</v>
      </c>
      <c r="AV31" s="14">
        <v>0.29675343731420495</v>
      </c>
      <c r="AW31" s="10">
        <v>728</v>
      </c>
      <c r="AX31" s="14">
        <v>0.18855218855218855</v>
      </c>
      <c r="AY31" s="56"/>
      <c r="AZ31" s="9">
        <v>19133294.82000001</v>
      </c>
      <c r="BA31" s="14">
        <v>0.2938464082762289</v>
      </c>
      <c r="BB31" s="10">
        <v>678</v>
      </c>
      <c r="BC31" s="14">
        <v>0.18354087709799674</v>
      </c>
      <c r="BD31" s="56"/>
      <c r="BE31" s="9">
        <v>24702328.330000013</v>
      </c>
      <c r="BF31" s="14">
        <v>0.27439126798885605</v>
      </c>
      <c r="BG31" s="10">
        <v>815</v>
      </c>
      <c r="BH31" s="14">
        <v>0.17644511799090712</v>
      </c>
      <c r="BI31" s="56"/>
      <c r="BJ31" s="9">
        <v>26014408.37000004</v>
      </c>
      <c r="BK31" s="14">
        <v>0.27299685298787674</v>
      </c>
      <c r="BL31" s="10">
        <v>831</v>
      </c>
      <c r="BM31" s="14">
        <v>0.1760220292310951</v>
      </c>
      <c r="BN31" s="56"/>
      <c r="BO31" s="9">
        <v>27761957.510000013</v>
      </c>
      <c r="BP31" s="14">
        <v>0.2807322984138336</v>
      </c>
      <c r="BQ31" s="10">
        <v>871</v>
      </c>
      <c r="BR31" s="14">
        <v>0.18313708999158956</v>
      </c>
      <c r="BS31" s="56"/>
      <c r="BT31" s="9">
        <v>28060777.559999987</v>
      </c>
      <c r="BU31" s="14">
        <v>0.27262007554164847</v>
      </c>
      <c r="BV31" s="10">
        <v>843</v>
      </c>
      <c r="BW31" s="14">
        <v>0.17632294499058773</v>
      </c>
      <c r="BX31" s="56"/>
      <c r="BY31" s="9">
        <v>28307177.249999966</v>
      </c>
      <c r="BZ31" s="14">
        <v>0.26216230062315105</v>
      </c>
      <c r="CA31" s="10">
        <v>836</v>
      </c>
      <c r="CB31" s="14">
        <v>0.17297744672046347</v>
      </c>
      <c r="CC31" s="56"/>
    </row>
    <row r="32" spans="1:81" ht="12.75">
      <c r="A32" s="8"/>
      <c r="B32" s="8"/>
      <c r="C32" s="8"/>
      <c r="D32" s="9"/>
      <c r="E32" s="8"/>
      <c r="F32" s="10"/>
      <c r="G32" s="8"/>
      <c r="H32" s="8"/>
      <c r="I32" s="8"/>
      <c r="J32" s="9"/>
      <c r="K32" s="8"/>
      <c r="L32" s="10"/>
      <c r="M32" s="63"/>
      <c r="N32" s="54"/>
      <c r="O32" s="55"/>
      <c r="P32" s="8"/>
      <c r="Q32" s="9"/>
      <c r="R32" s="8"/>
      <c r="S32" s="10"/>
      <c r="T32" s="63"/>
      <c r="U32" s="54"/>
      <c r="V32" s="9"/>
      <c r="W32" s="8"/>
      <c r="X32" s="10"/>
      <c r="Y32" s="63"/>
      <c r="Z32" s="54"/>
      <c r="AA32" s="9"/>
      <c r="AB32" s="8"/>
      <c r="AC32" s="10"/>
      <c r="AD32" s="63"/>
      <c r="AE32" s="54"/>
      <c r="AF32" s="9"/>
      <c r="AG32" s="8"/>
      <c r="AH32" s="10"/>
      <c r="AI32" s="63"/>
      <c r="AJ32" s="54"/>
      <c r="AK32" s="9"/>
      <c r="AL32" s="8"/>
      <c r="AM32" s="10"/>
      <c r="AN32" s="63"/>
      <c r="AO32" s="54"/>
      <c r="AP32" s="9"/>
      <c r="AQ32" s="8"/>
      <c r="AR32" s="10"/>
      <c r="AS32" s="63"/>
      <c r="AT32" s="54"/>
      <c r="AU32" s="9"/>
      <c r="AV32" s="8"/>
      <c r="AW32" s="10"/>
      <c r="AX32" s="63"/>
      <c r="AY32" s="54"/>
      <c r="AZ32" s="9"/>
      <c r="BA32" s="8"/>
      <c r="BB32" s="10"/>
      <c r="BC32" s="63"/>
      <c r="BD32" s="54"/>
      <c r="BE32" s="9"/>
      <c r="BF32" s="8"/>
      <c r="BG32" s="10"/>
      <c r="BH32" s="63"/>
      <c r="BI32" s="54"/>
      <c r="BJ32" s="9"/>
      <c r="BK32" s="8"/>
      <c r="BL32" s="10"/>
      <c r="BM32" s="63"/>
      <c r="BN32" s="54"/>
      <c r="BO32" s="9"/>
      <c r="BP32" s="8"/>
      <c r="BQ32" s="10"/>
      <c r="BR32" s="63"/>
      <c r="BS32" s="54"/>
      <c r="BT32" s="9"/>
      <c r="BU32" s="8"/>
      <c r="BV32" s="10"/>
      <c r="BW32" s="63"/>
      <c r="BX32" s="54"/>
      <c r="BY32" s="9"/>
      <c r="BZ32" s="8"/>
      <c r="CA32" s="10"/>
      <c r="CB32" s="63"/>
      <c r="CC32" s="54"/>
    </row>
    <row r="33" spans="1:81" ht="13.5" thickBot="1">
      <c r="A33" s="8"/>
      <c r="B33" s="8"/>
      <c r="C33" s="8"/>
      <c r="D33" s="21">
        <f>SUM(D19:D32)</f>
        <v>25729692.34</v>
      </c>
      <c r="E33" s="8"/>
      <c r="F33" s="22">
        <f>SUM(F19:F31)</f>
        <v>1858</v>
      </c>
      <c r="G33" s="8"/>
      <c r="H33" s="8"/>
      <c r="I33" s="8"/>
      <c r="J33" s="21">
        <f>SUM(J19:J31)</f>
        <v>24456072.85</v>
      </c>
      <c r="K33" s="8"/>
      <c r="L33" s="22">
        <f>SUM(L19:L31)</f>
        <v>1789</v>
      </c>
      <c r="M33" s="30"/>
      <c r="N33" s="54"/>
      <c r="O33" s="31"/>
      <c r="P33" s="8"/>
      <c r="Q33" s="21">
        <f>SUM(Q19:Q31)</f>
        <v>58998886.360000014</v>
      </c>
      <c r="R33" s="8"/>
      <c r="S33" s="22">
        <f>SUM(S19:S31)</f>
        <v>4195</v>
      </c>
      <c r="T33" s="30"/>
      <c r="U33" s="54"/>
      <c r="V33" s="21">
        <f>SUM(V19:V32)</f>
        <v>63235264.77999999</v>
      </c>
      <c r="W33" s="8"/>
      <c r="X33" s="22">
        <f>SUM(X19:X32)</f>
        <v>4406</v>
      </c>
      <c r="Y33" s="30"/>
      <c r="Z33" s="54"/>
      <c r="AA33" s="21">
        <f>SUM(AA19:AA32)</f>
        <v>64609572.75999999</v>
      </c>
      <c r="AB33" s="8"/>
      <c r="AC33" s="22">
        <f>SUM(AC19:AC32)</f>
        <v>4473</v>
      </c>
      <c r="AD33" s="30"/>
      <c r="AE33" s="54"/>
      <c r="AF33" s="21">
        <f>SUM(AF19:AF32)</f>
        <v>55910307.62</v>
      </c>
      <c r="AG33" s="8"/>
      <c r="AH33" s="22">
        <f>SUM(AH19:AH32)</f>
        <v>4011</v>
      </c>
      <c r="AI33" s="30"/>
      <c r="AJ33" s="54"/>
      <c r="AK33" s="21">
        <f>SUM(AK19:AK32)</f>
        <v>46000232.429999985</v>
      </c>
      <c r="AL33" s="8"/>
      <c r="AM33" s="22">
        <f>SUM(AM19:AM32)</f>
        <v>3486</v>
      </c>
      <c r="AN33" s="30"/>
      <c r="AO33" s="54"/>
      <c r="AP33" s="21">
        <f>SUM(AP19:AP32)</f>
        <v>72888001.54999998</v>
      </c>
      <c r="AQ33" s="8"/>
      <c r="AR33" s="22">
        <f>SUM(AR19:AR32)</f>
        <v>4506</v>
      </c>
      <c r="AS33" s="30"/>
      <c r="AT33" s="54"/>
      <c r="AU33" s="21">
        <f>SUM(AU19:AU32)</f>
        <v>66207774.129999995</v>
      </c>
      <c r="AV33" s="8"/>
      <c r="AW33" s="22">
        <f>SUM(AW19:AW32)</f>
        <v>3861</v>
      </c>
      <c r="AX33" s="30"/>
      <c r="AY33" s="54"/>
      <c r="AZ33" s="21">
        <f>SUM(AZ19:AZ32)</f>
        <v>65113250.600000024</v>
      </c>
      <c r="BA33" s="8"/>
      <c r="BB33" s="22">
        <f>SUM(BB19:BB32)</f>
        <v>3694</v>
      </c>
      <c r="BC33" s="30"/>
      <c r="BD33" s="54"/>
      <c r="BE33" s="21">
        <f>SUM(BE19:BE32)</f>
        <v>90025927.25</v>
      </c>
      <c r="BF33" s="8"/>
      <c r="BG33" s="22">
        <f>SUM(BG19:BG32)</f>
        <v>4619</v>
      </c>
      <c r="BH33" s="30"/>
      <c r="BI33" s="54"/>
      <c r="BJ33" s="21">
        <f>SUM(BJ19:BJ32)</f>
        <v>95291971.63000003</v>
      </c>
      <c r="BK33" s="8"/>
      <c r="BL33" s="22">
        <f>SUM(BL19:BL32)</f>
        <v>4721</v>
      </c>
      <c r="BM33" s="30"/>
      <c r="BN33" s="54"/>
      <c r="BO33" s="21">
        <f>SUM(BO19:BO32)</f>
        <v>98891212.97</v>
      </c>
      <c r="BP33" s="8"/>
      <c r="BQ33" s="22">
        <f>SUM(BQ19:BQ32)</f>
        <v>4756</v>
      </c>
      <c r="BR33" s="30"/>
      <c r="BS33" s="54"/>
      <c r="BT33" s="21">
        <f>SUM(BT19:BT32)</f>
        <v>102929975</v>
      </c>
      <c r="BU33" s="8"/>
      <c r="BV33" s="22">
        <f>SUM(BV19:BV32)</f>
        <v>4781</v>
      </c>
      <c r="BW33" s="30"/>
      <c r="BX33" s="54"/>
      <c r="BY33" s="21">
        <f>SUM(BY19:BY32)</f>
        <v>107975773.71999997</v>
      </c>
      <c r="BZ33" s="8"/>
      <c r="CA33" s="22">
        <f>SUM(CA19:CA32)</f>
        <v>4833</v>
      </c>
      <c r="CB33" s="30"/>
      <c r="CC33" s="54"/>
    </row>
    <row r="34" spans="1:81" ht="13.5" thickTop="1">
      <c r="A34" s="8"/>
      <c r="B34" s="8"/>
      <c r="C34" s="8"/>
      <c r="D34" s="9"/>
      <c r="E34" s="8"/>
      <c r="F34" s="10"/>
      <c r="G34" s="8"/>
      <c r="H34" s="8"/>
      <c r="I34" s="8"/>
      <c r="J34" s="8"/>
      <c r="K34" s="8"/>
      <c r="L34" s="8"/>
      <c r="M34" s="9"/>
      <c r="N34" s="8"/>
      <c r="O34" s="10"/>
      <c r="P34" s="8"/>
      <c r="Q34" s="8"/>
      <c r="R34" s="8"/>
      <c r="S34" s="8"/>
      <c r="T34" s="9"/>
      <c r="U34" s="8"/>
      <c r="V34" s="8"/>
      <c r="W34" s="8"/>
      <c r="X34" s="8"/>
      <c r="Y34" s="9"/>
      <c r="Z34" s="8"/>
      <c r="AA34" s="8"/>
      <c r="AB34" s="8"/>
      <c r="AC34" s="8"/>
      <c r="AD34" s="9"/>
      <c r="AE34" s="8"/>
      <c r="AF34" s="8"/>
      <c r="AG34" s="8"/>
      <c r="AH34" s="8"/>
      <c r="AI34" s="9"/>
      <c r="AJ34" s="8"/>
      <c r="AK34" s="8"/>
      <c r="AL34" s="8"/>
      <c r="AM34" s="8"/>
      <c r="AN34" s="9"/>
      <c r="AO34" s="8"/>
      <c r="AP34" s="8"/>
      <c r="AQ34" s="8"/>
      <c r="AR34" s="8"/>
      <c r="AS34" s="9"/>
      <c r="AT34" s="8"/>
      <c r="AU34" s="8"/>
      <c r="AV34" s="8"/>
      <c r="AW34" s="8"/>
      <c r="AX34" s="9"/>
      <c r="AY34" s="8"/>
      <c r="AZ34" s="8"/>
      <c r="BA34" s="8"/>
      <c r="BB34" s="8"/>
      <c r="BC34" s="9"/>
      <c r="BD34" s="8"/>
      <c r="BE34" s="8"/>
      <c r="BF34" s="8"/>
      <c r="BG34" s="8"/>
      <c r="BH34" s="9"/>
      <c r="BI34" s="8"/>
      <c r="BJ34" s="8"/>
      <c r="BK34" s="8"/>
      <c r="BL34" s="8"/>
      <c r="BM34" s="9"/>
      <c r="BN34" s="8"/>
      <c r="BO34" s="8"/>
      <c r="BP34" s="8"/>
      <c r="BQ34" s="8"/>
      <c r="BR34" s="9"/>
      <c r="BS34" s="8"/>
      <c r="BT34" s="8"/>
      <c r="BU34" s="8"/>
      <c r="BV34" s="8"/>
      <c r="BW34" s="9"/>
      <c r="BX34" s="8"/>
      <c r="BY34" s="8"/>
      <c r="BZ34" s="8"/>
      <c r="CA34" s="8"/>
      <c r="CB34" s="9"/>
      <c r="CC34" s="8"/>
    </row>
    <row r="35" spans="1:81" ht="12.75">
      <c r="A35" s="8"/>
      <c r="B35" s="8"/>
      <c r="C35" s="8"/>
      <c r="D35" s="9"/>
      <c r="E35" s="8"/>
      <c r="F35" s="10"/>
      <c r="G35" s="8"/>
      <c r="H35" s="8"/>
      <c r="I35" s="8"/>
      <c r="J35" s="8"/>
      <c r="K35" s="8"/>
      <c r="L35" s="8"/>
      <c r="M35" s="9"/>
      <c r="N35" s="8"/>
      <c r="O35" s="10"/>
      <c r="P35" s="8"/>
      <c r="Q35" s="8"/>
      <c r="R35" s="8"/>
      <c r="S35" s="8"/>
      <c r="T35" s="9"/>
      <c r="U35" s="8"/>
      <c r="V35" s="8"/>
      <c r="W35" s="8"/>
      <c r="X35" s="8"/>
      <c r="Y35" s="9"/>
      <c r="Z35" s="8"/>
      <c r="AA35" s="8"/>
      <c r="AB35" s="8"/>
      <c r="AC35" s="8"/>
      <c r="AD35" s="9"/>
      <c r="AE35" s="8"/>
      <c r="AF35" s="8"/>
      <c r="AG35" s="8"/>
      <c r="AH35" s="8"/>
      <c r="AI35" s="9"/>
      <c r="AJ35" s="8"/>
      <c r="AK35" s="8"/>
      <c r="AL35" s="8"/>
      <c r="AM35" s="8"/>
      <c r="AN35" s="9"/>
      <c r="AO35" s="8"/>
      <c r="AP35" s="8"/>
      <c r="AQ35" s="8"/>
      <c r="AR35" s="8"/>
      <c r="AS35" s="9"/>
      <c r="AT35" s="8"/>
      <c r="AU35" s="8"/>
      <c r="AV35" s="8"/>
      <c r="AW35" s="8"/>
      <c r="AX35" s="9"/>
      <c r="AY35" s="8"/>
      <c r="AZ35" s="8"/>
      <c r="BA35" s="8"/>
      <c r="BB35" s="8"/>
      <c r="BC35" s="9"/>
      <c r="BD35" s="8"/>
      <c r="BE35" s="8"/>
      <c r="BF35" s="8"/>
      <c r="BG35" s="8"/>
      <c r="BH35" s="9"/>
      <c r="BI35" s="8"/>
      <c r="BJ35" s="8"/>
      <c r="BK35" s="8"/>
      <c r="BL35" s="8"/>
      <c r="BM35" s="9"/>
      <c r="BN35" s="8"/>
      <c r="BO35" s="8"/>
      <c r="BP35" s="8"/>
      <c r="BQ35" s="8"/>
      <c r="BR35" s="9"/>
      <c r="BS35" s="8"/>
      <c r="BT35" s="8"/>
      <c r="BU35" s="8"/>
      <c r="BV35" s="8"/>
      <c r="BW35" s="9"/>
      <c r="BX35" s="8"/>
      <c r="BY35" s="8"/>
      <c r="BZ35" s="8"/>
      <c r="CA35" s="8"/>
      <c r="CB35" s="9"/>
      <c r="CC35" s="8"/>
    </row>
    <row r="36" spans="1:81" ht="12.75">
      <c r="A36" s="19" t="s">
        <v>121</v>
      </c>
      <c r="B36" s="8"/>
      <c r="C36" s="8"/>
      <c r="D36" s="9"/>
      <c r="E36" s="8"/>
      <c r="F36" s="10"/>
      <c r="G36" s="8"/>
      <c r="H36" s="8"/>
      <c r="I36" s="8"/>
      <c r="J36" s="19" t="s">
        <v>121</v>
      </c>
      <c r="K36" s="8"/>
      <c r="L36" s="8"/>
      <c r="M36" s="9"/>
      <c r="N36" s="8"/>
      <c r="O36" s="10"/>
      <c r="P36" s="8"/>
      <c r="Q36" s="19" t="s">
        <v>121</v>
      </c>
      <c r="R36" s="8"/>
      <c r="S36" s="8"/>
      <c r="T36" s="9"/>
      <c r="U36" s="8"/>
      <c r="V36" s="19" t="s">
        <v>121</v>
      </c>
      <c r="W36" s="8"/>
      <c r="X36" s="8"/>
      <c r="Y36" s="9"/>
      <c r="Z36" s="8"/>
      <c r="AA36" s="19" t="s">
        <v>121</v>
      </c>
      <c r="AB36" s="8"/>
      <c r="AC36" s="8"/>
      <c r="AD36" s="9"/>
      <c r="AE36" s="8"/>
      <c r="AF36" s="19" t="s">
        <v>121</v>
      </c>
      <c r="AG36" s="8"/>
      <c r="AH36" s="8"/>
      <c r="AI36" s="9"/>
      <c r="AJ36" s="8"/>
      <c r="AK36" s="19" t="s">
        <v>121</v>
      </c>
      <c r="AL36" s="8"/>
      <c r="AM36" s="8"/>
      <c r="AN36" s="9"/>
      <c r="AO36" s="8"/>
      <c r="AP36" s="19" t="s">
        <v>121</v>
      </c>
      <c r="AQ36" s="8"/>
      <c r="AR36" s="8"/>
      <c r="AS36" s="9"/>
      <c r="AT36" s="8"/>
      <c r="AU36" s="19" t="s">
        <v>121</v>
      </c>
      <c r="AV36" s="8"/>
      <c r="AW36" s="8"/>
      <c r="AX36" s="9"/>
      <c r="AY36" s="8"/>
      <c r="AZ36" s="19" t="s">
        <v>121</v>
      </c>
      <c r="BA36" s="8"/>
      <c r="BB36" s="8"/>
      <c r="BC36" s="9"/>
      <c r="BD36" s="8"/>
      <c r="BE36" s="19" t="s">
        <v>121</v>
      </c>
      <c r="BF36" s="8"/>
      <c r="BG36" s="8"/>
      <c r="BH36" s="9"/>
      <c r="BI36" s="8"/>
      <c r="BJ36" s="19" t="s">
        <v>121</v>
      </c>
      <c r="BK36" s="8"/>
      <c r="BL36" s="8"/>
      <c r="BM36" s="9"/>
      <c r="BN36" s="8"/>
      <c r="BO36" s="19" t="s">
        <v>121</v>
      </c>
      <c r="BP36" s="8"/>
      <c r="BQ36" s="8"/>
      <c r="BR36" s="9"/>
      <c r="BS36" s="8"/>
      <c r="BT36" s="19" t="s">
        <v>121</v>
      </c>
      <c r="BU36" s="8"/>
      <c r="BV36" s="8"/>
      <c r="BW36" s="9"/>
      <c r="BX36" s="8"/>
      <c r="BY36" s="19" t="s">
        <v>121</v>
      </c>
      <c r="BZ36" s="8"/>
      <c r="CA36" s="8"/>
      <c r="CB36" s="9"/>
      <c r="CC36" s="8"/>
    </row>
    <row r="37" spans="1:81" ht="12.75">
      <c r="A37" s="19"/>
      <c r="B37" s="8"/>
      <c r="C37" s="8"/>
      <c r="D37" s="9"/>
      <c r="E37" s="8"/>
      <c r="F37" s="10"/>
      <c r="G37" s="8"/>
      <c r="H37" s="8"/>
      <c r="I37" s="8"/>
      <c r="J37" s="19"/>
      <c r="K37" s="8"/>
      <c r="L37" s="8"/>
      <c r="M37" s="9"/>
      <c r="N37" s="8"/>
      <c r="O37" s="10"/>
      <c r="P37" s="8"/>
      <c r="Q37" s="19"/>
      <c r="R37" s="8"/>
      <c r="S37" s="8"/>
      <c r="T37" s="9"/>
      <c r="U37" s="8"/>
      <c r="V37" s="19"/>
      <c r="W37" s="8"/>
      <c r="X37" s="8"/>
      <c r="Y37" s="9"/>
      <c r="Z37" s="8"/>
      <c r="AA37" s="19"/>
      <c r="AB37" s="8"/>
      <c r="AC37" s="8"/>
      <c r="AD37" s="9"/>
      <c r="AE37" s="8"/>
      <c r="AF37" s="19"/>
      <c r="AG37" s="8"/>
      <c r="AH37" s="8"/>
      <c r="AI37" s="9"/>
      <c r="AJ37" s="8"/>
      <c r="AK37" s="19"/>
      <c r="AL37" s="8"/>
      <c r="AM37" s="8"/>
      <c r="AN37" s="9"/>
      <c r="AO37" s="8"/>
      <c r="AP37" s="19"/>
      <c r="AQ37" s="8"/>
      <c r="AR37" s="8"/>
      <c r="AS37" s="9"/>
      <c r="AT37" s="8"/>
      <c r="AU37" s="19"/>
      <c r="AV37" s="8"/>
      <c r="AW37" s="8"/>
      <c r="AX37" s="9"/>
      <c r="AY37" s="8"/>
      <c r="AZ37" s="19"/>
      <c r="BA37" s="8"/>
      <c r="BB37" s="8"/>
      <c r="BC37" s="9"/>
      <c r="BD37" s="8"/>
      <c r="BE37" s="19"/>
      <c r="BF37" s="8"/>
      <c r="BG37" s="8"/>
      <c r="BH37" s="9"/>
      <c r="BI37" s="8"/>
      <c r="BJ37" s="19"/>
      <c r="BK37" s="8"/>
      <c r="BL37" s="8"/>
      <c r="BM37" s="9"/>
      <c r="BN37" s="8"/>
      <c r="BO37" s="19"/>
      <c r="BP37" s="8"/>
      <c r="BQ37" s="8"/>
      <c r="BR37" s="9"/>
      <c r="BS37" s="8"/>
      <c r="BT37" s="19"/>
      <c r="BU37" s="8"/>
      <c r="BV37" s="8"/>
      <c r="BW37" s="9"/>
      <c r="BX37" s="8"/>
      <c r="BY37" s="19"/>
      <c r="BZ37" s="8"/>
      <c r="CA37" s="8"/>
      <c r="CB37" s="9"/>
      <c r="CC37" s="8"/>
    </row>
    <row r="38" spans="1:81" s="29" customFormat="1" ht="12.75">
      <c r="A38" s="25"/>
      <c r="B38" s="26"/>
      <c r="C38" s="26"/>
      <c r="D38" s="27" t="s">
        <v>99</v>
      </c>
      <c r="E38" s="26" t="s">
        <v>100</v>
      </c>
      <c r="F38" s="28" t="s">
        <v>101</v>
      </c>
      <c r="G38" s="26" t="s">
        <v>100</v>
      </c>
      <c r="H38" s="25"/>
      <c r="I38" s="25"/>
      <c r="J38" s="27" t="s">
        <v>99</v>
      </c>
      <c r="K38" s="26" t="s">
        <v>100</v>
      </c>
      <c r="L38" s="28" t="s">
        <v>101</v>
      </c>
      <c r="M38" s="26" t="s">
        <v>100</v>
      </c>
      <c r="N38" s="64"/>
      <c r="O38" s="65"/>
      <c r="P38" s="12" t="s">
        <v>140</v>
      </c>
      <c r="Q38" s="27" t="s">
        <v>99</v>
      </c>
      <c r="R38" s="26" t="s">
        <v>100</v>
      </c>
      <c r="S38" s="28" t="s">
        <v>101</v>
      </c>
      <c r="T38" s="26" t="s">
        <v>100</v>
      </c>
      <c r="U38" s="64"/>
      <c r="V38" s="27" t="s">
        <v>99</v>
      </c>
      <c r="W38" s="26" t="s">
        <v>100</v>
      </c>
      <c r="X38" s="28" t="s">
        <v>101</v>
      </c>
      <c r="Y38" s="26" t="s">
        <v>100</v>
      </c>
      <c r="Z38" s="64"/>
      <c r="AA38" s="27" t="s">
        <v>99</v>
      </c>
      <c r="AB38" s="26" t="s">
        <v>100</v>
      </c>
      <c r="AC38" s="28" t="s">
        <v>101</v>
      </c>
      <c r="AD38" s="26" t="s">
        <v>100</v>
      </c>
      <c r="AE38" s="64"/>
      <c r="AF38" s="27" t="s">
        <v>99</v>
      </c>
      <c r="AG38" s="26" t="s">
        <v>100</v>
      </c>
      <c r="AH38" s="28" t="s">
        <v>101</v>
      </c>
      <c r="AI38" s="26" t="s">
        <v>100</v>
      </c>
      <c r="AJ38" s="64"/>
      <c r="AK38" s="27" t="s">
        <v>99</v>
      </c>
      <c r="AL38" s="26" t="s">
        <v>100</v>
      </c>
      <c r="AM38" s="28" t="s">
        <v>101</v>
      </c>
      <c r="AN38" s="26" t="s">
        <v>100</v>
      </c>
      <c r="AO38" s="64"/>
      <c r="AP38" s="89" t="s">
        <v>99</v>
      </c>
      <c r="AQ38" s="44" t="s">
        <v>100</v>
      </c>
      <c r="AR38" s="88" t="s">
        <v>101</v>
      </c>
      <c r="AS38" s="44" t="s">
        <v>100</v>
      </c>
      <c r="AT38" s="64"/>
      <c r="AU38" s="89" t="s">
        <v>99</v>
      </c>
      <c r="AV38" s="44" t="s">
        <v>100</v>
      </c>
      <c r="AW38" s="88" t="s">
        <v>101</v>
      </c>
      <c r="AX38" s="44" t="s">
        <v>100</v>
      </c>
      <c r="AY38" s="64"/>
      <c r="AZ38" s="89" t="s">
        <v>99</v>
      </c>
      <c r="BA38" s="44" t="s">
        <v>100</v>
      </c>
      <c r="BB38" s="88" t="s">
        <v>101</v>
      </c>
      <c r="BC38" s="44" t="s">
        <v>100</v>
      </c>
      <c r="BD38" s="64"/>
      <c r="BE38" s="89" t="s">
        <v>99</v>
      </c>
      <c r="BF38" s="44" t="s">
        <v>100</v>
      </c>
      <c r="BG38" s="88" t="s">
        <v>101</v>
      </c>
      <c r="BH38" s="44" t="s">
        <v>100</v>
      </c>
      <c r="BI38" s="64"/>
      <c r="BJ38" s="89" t="s">
        <v>99</v>
      </c>
      <c r="BK38" s="44" t="s">
        <v>100</v>
      </c>
      <c r="BL38" s="88" t="s">
        <v>101</v>
      </c>
      <c r="BM38" s="44" t="s">
        <v>100</v>
      </c>
      <c r="BN38" s="64"/>
      <c r="BO38" s="89" t="s">
        <v>99</v>
      </c>
      <c r="BP38" s="44" t="s">
        <v>100</v>
      </c>
      <c r="BQ38" s="88" t="s">
        <v>101</v>
      </c>
      <c r="BR38" s="44" t="s">
        <v>100</v>
      </c>
      <c r="BS38" s="64"/>
      <c r="BT38" s="89" t="s">
        <v>99</v>
      </c>
      <c r="BU38" s="44" t="s">
        <v>100</v>
      </c>
      <c r="BV38" s="88" t="s">
        <v>101</v>
      </c>
      <c r="BW38" s="44" t="s">
        <v>100</v>
      </c>
      <c r="BX38" s="64"/>
      <c r="BY38" s="89" t="s">
        <v>99</v>
      </c>
      <c r="BZ38" s="44" t="s">
        <v>100</v>
      </c>
      <c r="CA38" s="88" t="s">
        <v>101</v>
      </c>
      <c r="CB38" s="44" t="s">
        <v>100</v>
      </c>
      <c r="CC38" s="64"/>
    </row>
    <row r="39" spans="1:81" ht="12.75">
      <c r="A39" s="12"/>
      <c r="B39" s="8"/>
      <c r="C39" s="8"/>
      <c r="D39" s="9"/>
      <c r="E39" s="8"/>
      <c r="F39" s="10"/>
      <c r="G39" s="8"/>
      <c r="H39" s="8"/>
      <c r="I39" s="8"/>
      <c r="J39" s="9"/>
      <c r="K39" s="8"/>
      <c r="L39" s="10"/>
      <c r="N39" s="54"/>
      <c r="O39" s="55"/>
      <c r="P39" s="8"/>
      <c r="Q39" s="9"/>
      <c r="R39" s="8"/>
      <c r="S39" s="10"/>
      <c r="T39" s="34"/>
      <c r="U39" s="54"/>
      <c r="V39" s="9"/>
      <c r="W39" s="8"/>
      <c r="X39" s="10"/>
      <c r="Y39" s="34"/>
      <c r="Z39" s="54"/>
      <c r="AA39" s="9"/>
      <c r="AB39" s="8"/>
      <c r="AC39" s="10"/>
      <c r="AD39" s="34"/>
      <c r="AE39" s="54"/>
      <c r="AF39" s="9"/>
      <c r="AG39" s="8"/>
      <c r="AH39" s="10"/>
      <c r="AI39" s="34"/>
      <c r="AJ39" s="54"/>
      <c r="AK39" s="9"/>
      <c r="AL39" s="8"/>
      <c r="AM39" s="10"/>
      <c r="AN39" s="34"/>
      <c r="AO39" s="54"/>
      <c r="AP39" s="9"/>
      <c r="AQ39" s="8"/>
      <c r="AR39" s="10"/>
      <c r="AS39" s="34"/>
      <c r="AT39" s="54"/>
      <c r="AU39" s="9"/>
      <c r="AV39" s="8"/>
      <c r="AW39" s="10"/>
      <c r="AX39" s="34"/>
      <c r="AY39" s="54"/>
      <c r="AZ39" s="9"/>
      <c r="BA39" s="8"/>
      <c r="BB39" s="10"/>
      <c r="BC39" s="34"/>
      <c r="BD39" s="54"/>
      <c r="BE39" s="9"/>
      <c r="BF39" s="8"/>
      <c r="BG39" s="10"/>
      <c r="BH39" s="34"/>
      <c r="BI39" s="54"/>
      <c r="BJ39" s="9"/>
      <c r="BK39" s="8"/>
      <c r="BL39" s="10"/>
      <c r="BM39" s="34"/>
      <c r="BN39" s="54"/>
      <c r="BO39" s="9"/>
      <c r="BP39" s="8"/>
      <c r="BQ39" s="10"/>
      <c r="BR39" s="34"/>
      <c r="BS39" s="54"/>
      <c r="BT39" s="9"/>
      <c r="BU39" s="8"/>
      <c r="BV39" s="10"/>
      <c r="BW39" s="34"/>
      <c r="BX39" s="54"/>
      <c r="BY39" s="9"/>
      <c r="BZ39" s="8"/>
      <c r="CA39" s="10"/>
      <c r="CB39" s="34"/>
      <c r="CC39" s="54"/>
    </row>
    <row r="40" spans="1:81" ht="12.75">
      <c r="A40" s="8" t="s">
        <v>17</v>
      </c>
      <c r="B40" s="8"/>
      <c r="C40" s="8"/>
      <c r="D40" s="9">
        <v>1007.45</v>
      </c>
      <c r="E40" s="14">
        <f>+D40/$D$55</f>
        <v>3.9155151436995384E-05</v>
      </c>
      <c r="F40" s="10">
        <v>1</v>
      </c>
      <c r="G40" s="14">
        <f>+F40/F55</f>
        <v>0.0005382131324004305</v>
      </c>
      <c r="H40" s="8"/>
      <c r="I40" s="8"/>
      <c r="J40" s="9">
        <v>2100.03</v>
      </c>
      <c r="K40" s="14">
        <f>+J40/J55</f>
        <v>8.586946943118875E-05</v>
      </c>
      <c r="L40" s="10">
        <v>7</v>
      </c>
      <c r="M40" s="14">
        <f>+L40/L55</f>
        <v>0.003912800447177194</v>
      </c>
      <c r="N40" s="56"/>
      <c r="O40" s="55"/>
      <c r="P40" s="14">
        <v>0.003912800447177194</v>
      </c>
      <c r="Q40" s="9">
        <v>5911.25</v>
      </c>
      <c r="R40" s="14">
        <v>0.0001001925691263166</v>
      </c>
      <c r="S40" s="10">
        <v>21</v>
      </c>
      <c r="T40" s="14">
        <v>0.00500595947556615</v>
      </c>
      <c r="U40" s="56"/>
      <c r="V40" s="9">
        <v>12884.06</v>
      </c>
      <c r="W40" s="14">
        <v>0.00020374802010910466</v>
      </c>
      <c r="X40" s="10">
        <v>40</v>
      </c>
      <c r="Y40" s="14">
        <v>0.009078529278256923</v>
      </c>
      <c r="Z40" s="56"/>
      <c r="AA40" s="9">
        <v>28712.1</v>
      </c>
      <c r="AB40" s="14">
        <v>0.0004443938997500347</v>
      </c>
      <c r="AC40" s="10">
        <v>88</v>
      </c>
      <c r="AD40" s="14">
        <v>0.01967359713838587</v>
      </c>
      <c r="AE40" s="56"/>
      <c r="AF40" s="9">
        <v>51307.55</v>
      </c>
      <c r="AG40" s="14">
        <v>0.0009176760455105511</v>
      </c>
      <c r="AH40" s="10">
        <v>149</v>
      </c>
      <c r="AI40" s="14">
        <v>0.037147843430565944</v>
      </c>
      <c r="AJ40" s="56"/>
      <c r="AK40" s="9">
        <v>67317.43000000008</v>
      </c>
      <c r="AL40" s="14">
        <v>0.0014634149969228768</v>
      </c>
      <c r="AM40" s="10">
        <v>195</v>
      </c>
      <c r="AN40" s="14">
        <v>0.05593803786574871</v>
      </c>
      <c r="AO40" s="56"/>
      <c r="AP40" s="9">
        <v>81624.92000000007</v>
      </c>
      <c r="AQ40" s="14">
        <v>0.0011198677184749903</v>
      </c>
      <c r="AR40" s="10">
        <v>255</v>
      </c>
      <c r="AS40" s="14">
        <v>0.05659121171770972</v>
      </c>
      <c r="AT40" s="56"/>
      <c r="AU40" s="9">
        <v>28454.43</v>
      </c>
      <c r="AV40" s="14">
        <v>0.00042977475642255085</v>
      </c>
      <c r="AW40" s="10">
        <v>18</v>
      </c>
      <c r="AX40" s="14">
        <v>0.004662004662004662</v>
      </c>
      <c r="AY40" s="56"/>
      <c r="AZ40" s="9">
        <v>56050.81</v>
      </c>
      <c r="BA40" s="14">
        <v>0.0008608203320139572</v>
      </c>
      <c r="BB40" s="10">
        <v>36</v>
      </c>
      <c r="BC40" s="14">
        <v>0.009745533297238766</v>
      </c>
      <c r="BD40" s="56"/>
      <c r="BE40" s="9">
        <v>78539.27</v>
      </c>
      <c r="BF40" s="14">
        <v>0.000872407231995492</v>
      </c>
      <c r="BG40" s="10">
        <v>51</v>
      </c>
      <c r="BH40" s="14">
        <v>0.011041350941762286</v>
      </c>
      <c r="BI40" s="56"/>
      <c r="BJ40" s="9">
        <v>94976.61</v>
      </c>
      <c r="BK40" s="14">
        <v>0.0009966905750337033</v>
      </c>
      <c r="BL40" s="10">
        <v>63</v>
      </c>
      <c r="BM40" s="14">
        <v>0.013344630374920568</v>
      </c>
      <c r="BN40" s="56"/>
      <c r="BO40" s="9">
        <v>112807.99</v>
      </c>
      <c r="BP40" s="14">
        <v>0.0011407281457273847</v>
      </c>
      <c r="BQ40" s="10">
        <v>76</v>
      </c>
      <c r="BR40" s="14">
        <v>0.0159798149705635</v>
      </c>
      <c r="BS40" s="56"/>
      <c r="BT40" s="9">
        <v>135021.46</v>
      </c>
      <c r="BU40" s="14">
        <v>0.0013117797803798154</v>
      </c>
      <c r="BV40" s="10">
        <v>91</v>
      </c>
      <c r="BW40" s="14">
        <v>0.01903367496339678</v>
      </c>
      <c r="BX40" s="56"/>
      <c r="BY40" s="9">
        <v>190857.99</v>
      </c>
      <c r="BZ40" s="14">
        <v>0.00176760011458615</v>
      </c>
      <c r="CA40" s="10">
        <v>128</v>
      </c>
      <c r="CB40" s="14">
        <v>0.02648458514380302</v>
      </c>
      <c r="CC40" s="56"/>
    </row>
    <row r="41" spans="1:81" ht="12.75">
      <c r="A41" s="8" t="s">
        <v>18</v>
      </c>
      <c r="B41" s="8"/>
      <c r="C41" s="8"/>
      <c r="D41" s="9">
        <v>299956.17</v>
      </c>
      <c r="E41" s="14">
        <f aca="true" t="shared" si="4" ref="E41:E53">+D41/$D$55</f>
        <v>0.01165797732970483</v>
      </c>
      <c r="F41" s="10">
        <v>88</v>
      </c>
      <c r="G41" s="14">
        <f>+F41/$F$55</f>
        <v>0.04736275565123789</v>
      </c>
      <c r="H41" s="8"/>
      <c r="I41" s="8"/>
      <c r="J41" s="9">
        <v>279462.4</v>
      </c>
      <c r="K41" s="14">
        <f>+J41/$J$55</f>
        <v>0.011427116762125608</v>
      </c>
      <c r="L41" s="10">
        <v>84</v>
      </c>
      <c r="M41" s="14">
        <f>+L41/$L$55</f>
        <v>0.046953605366126326</v>
      </c>
      <c r="N41" s="56"/>
      <c r="O41" s="55"/>
      <c r="P41" s="14">
        <v>0.046953605366126326</v>
      </c>
      <c r="Q41" s="9">
        <v>581058.88</v>
      </c>
      <c r="R41" s="14">
        <v>0.009848641488832327</v>
      </c>
      <c r="S41" s="10">
        <v>178</v>
      </c>
      <c r="T41" s="14">
        <v>0.042431466030989275</v>
      </c>
      <c r="U41" s="56"/>
      <c r="V41" s="9">
        <v>597441.83</v>
      </c>
      <c r="W41" s="14">
        <v>0.009447921694936254</v>
      </c>
      <c r="X41" s="10">
        <v>186</v>
      </c>
      <c r="Y41" s="14">
        <v>0.04221516114389469</v>
      </c>
      <c r="Z41" s="56"/>
      <c r="AA41" s="9">
        <v>603284.46</v>
      </c>
      <c r="AB41" s="14">
        <v>0.009337385068942846</v>
      </c>
      <c r="AC41" s="10">
        <v>192</v>
      </c>
      <c r="AD41" s="14">
        <v>0.042924211938296444</v>
      </c>
      <c r="AE41" s="56"/>
      <c r="AF41" s="9">
        <v>701976.34</v>
      </c>
      <c r="AG41" s="14">
        <v>0.01255540113946525</v>
      </c>
      <c r="AH41" s="10">
        <v>220</v>
      </c>
      <c r="AI41" s="14">
        <v>0.05484916479680878</v>
      </c>
      <c r="AJ41" s="56"/>
      <c r="AK41" s="9">
        <v>781228.24</v>
      </c>
      <c r="AL41" s="14">
        <v>0.016983136795859017</v>
      </c>
      <c r="AM41" s="10">
        <v>246</v>
      </c>
      <c r="AN41" s="14">
        <v>0.07056798623063683</v>
      </c>
      <c r="AO41" s="56"/>
      <c r="AP41" s="9">
        <v>980146.0899999986</v>
      </c>
      <c r="AQ41" s="14">
        <v>0.013447289940136909</v>
      </c>
      <c r="AR41" s="10">
        <v>306</v>
      </c>
      <c r="AS41" s="14">
        <v>0.06790945406125166</v>
      </c>
      <c r="AT41" s="56"/>
      <c r="AU41" s="9">
        <v>983564.6500000007</v>
      </c>
      <c r="AV41" s="14">
        <v>0.01485572748705849</v>
      </c>
      <c r="AW41" s="10">
        <v>313</v>
      </c>
      <c r="AX41" s="14">
        <v>0.08106708106708106</v>
      </c>
      <c r="AY41" s="56"/>
      <c r="AZ41" s="9">
        <v>1020899.69</v>
      </c>
      <c r="BA41" s="14">
        <v>0.015678831583321402</v>
      </c>
      <c r="BB41" s="10">
        <v>323</v>
      </c>
      <c r="BC41" s="14">
        <v>0.08743909041689225</v>
      </c>
      <c r="BD41" s="56"/>
      <c r="BE41" s="9">
        <v>1117709.47</v>
      </c>
      <c r="BF41" s="14">
        <v>0.012415417470748683</v>
      </c>
      <c r="BG41" s="10">
        <v>356</v>
      </c>
      <c r="BH41" s="14">
        <v>0.07707295951504654</v>
      </c>
      <c r="BI41" s="56"/>
      <c r="BJ41" s="9">
        <v>1097667.78</v>
      </c>
      <c r="BK41" s="14">
        <v>0.011518995369956531</v>
      </c>
      <c r="BL41" s="10">
        <v>357</v>
      </c>
      <c r="BM41" s="14">
        <v>0.07561957212454988</v>
      </c>
      <c r="BN41" s="56"/>
      <c r="BO41" s="9">
        <v>1040192.45</v>
      </c>
      <c r="BP41" s="14">
        <v>0.010518552849741623</v>
      </c>
      <c r="BQ41" s="10">
        <v>349</v>
      </c>
      <c r="BR41" s="14">
        <v>0.07338099243061397</v>
      </c>
      <c r="BS41" s="56"/>
      <c r="BT41" s="9">
        <v>1080814.97</v>
      </c>
      <c r="BU41" s="14">
        <v>0.010500488025961336</v>
      </c>
      <c r="BV41" s="10">
        <v>366</v>
      </c>
      <c r="BW41" s="14">
        <v>0.07655302238025517</v>
      </c>
      <c r="BX41" s="56"/>
      <c r="BY41" s="9">
        <v>1150604.37</v>
      </c>
      <c r="BZ41" s="14">
        <v>0.010656134523135883</v>
      </c>
      <c r="CA41" s="10">
        <v>391</v>
      </c>
      <c r="CB41" s="14">
        <v>0.08090213118146079</v>
      </c>
      <c r="CC41" s="56"/>
    </row>
    <row r="42" spans="1:81" ht="12.75">
      <c r="A42" s="8" t="s">
        <v>19</v>
      </c>
      <c r="B42" s="8"/>
      <c r="C42" s="8"/>
      <c r="D42" s="9">
        <v>1364692.71</v>
      </c>
      <c r="E42" s="14">
        <f t="shared" si="4"/>
        <v>0.053039604670220473</v>
      </c>
      <c r="F42" s="10">
        <v>259</v>
      </c>
      <c r="G42" s="14">
        <f aca="true" t="shared" si="5" ref="G42:G53">+F42/$F$55</f>
        <v>0.13939720129171151</v>
      </c>
      <c r="H42" s="8"/>
      <c r="I42" s="8"/>
      <c r="J42" s="9">
        <v>1306057.09</v>
      </c>
      <c r="K42" s="14">
        <f aca="true" t="shared" si="6" ref="K42:K53">+J42/$J$55</f>
        <v>0.05340420344716139</v>
      </c>
      <c r="L42" s="10">
        <v>254</v>
      </c>
      <c r="M42" s="14">
        <f aca="true" t="shared" si="7" ref="M42:M53">+L42/$L$55</f>
        <v>0.14197875908328675</v>
      </c>
      <c r="N42" s="56"/>
      <c r="O42" s="55"/>
      <c r="P42" s="14">
        <v>0.14197875908328675</v>
      </c>
      <c r="Q42" s="9">
        <v>3291624.0100000054</v>
      </c>
      <c r="R42" s="14">
        <v>0.055791290532420226</v>
      </c>
      <c r="S42" s="10">
        <v>638</v>
      </c>
      <c r="T42" s="14">
        <v>0.15208581644815256</v>
      </c>
      <c r="U42" s="56"/>
      <c r="V42" s="9">
        <v>3340929.65</v>
      </c>
      <c r="W42" s="14">
        <v>0.05283333060473983</v>
      </c>
      <c r="X42" s="10">
        <v>660</v>
      </c>
      <c r="Y42" s="14">
        <v>0.14979573309123922</v>
      </c>
      <c r="Z42" s="56"/>
      <c r="AA42" s="9">
        <v>3270186.11</v>
      </c>
      <c r="AB42" s="14">
        <v>0.050614575678243484</v>
      </c>
      <c r="AC42" s="10">
        <v>658</v>
      </c>
      <c r="AD42" s="14">
        <v>0.14710485133020346</v>
      </c>
      <c r="AE42" s="56"/>
      <c r="AF42" s="9">
        <v>2886782.13</v>
      </c>
      <c r="AG42" s="14">
        <v>0.05163237787243635</v>
      </c>
      <c r="AH42" s="10">
        <v>583</v>
      </c>
      <c r="AI42" s="14">
        <v>0.14535028671154326</v>
      </c>
      <c r="AJ42" s="56"/>
      <c r="AK42" s="9">
        <v>2572291.39</v>
      </c>
      <c r="AL42" s="14">
        <v>0.05591909549401378</v>
      </c>
      <c r="AM42" s="10">
        <v>521</v>
      </c>
      <c r="AN42" s="14">
        <v>0.14945496270797476</v>
      </c>
      <c r="AO42" s="56"/>
      <c r="AP42" s="9">
        <v>2578926.95</v>
      </c>
      <c r="AQ42" s="14">
        <v>0.035382050476866156</v>
      </c>
      <c r="AR42" s="10">
        <v>516</v>
      </c>
      <c r="AS42" s="14">
        <v>0.11451398135818908</v>
      </c>
      <c r="AT42" s="56"/>
      <c r="AU42" s="9">
        <v>2297856.5</v>
      </c>
      <c r="AV42" s="14">
        <v>0.03470674751107208</v>
      </c>
      <c r="AW42" s="10">
        <v>463</v>
      </c>
      <c r="AX42" s="14">
        <v>0.11991711991711991</v>
      </c>
      <c r="AY42" s="56"/>
      <c r="AZ42" s="9">
        <v>2208270.94</v>
      </c>
      <c r="BA42" s="14">
        <v>0.03391430960137014</v>
      </c>
      <c r="BB42" s="10">
        <v>440</v>
      </c>
      <c r="BC42" s="14">
        <v>0.11911207363291824</v>
      </c>
      <c r="BD42" s="56"/>
      <c r="BE42" s="9">
        <v>2233238.77</v>
      </c>
      <c r="BF42" s="14">
        <v>0.024806617806871878</v>
      </c>
      <c r="BG42" s="10">
        <v>441</v>
      </c>
      <c r="BH42" s="14">
        <v>0.09547521108465036</v>
      </c>
      <c r="BI42" s="56"/>
      <c r="BJ42" s="9">
        <v>2356003.98</v>
      </c>
      <c r="BK42" s="14">
        <v>0.024724055339603014</v>
      </c>
      <c r="BL42" s="10">
        <v>464</v>
      </c>
      <c r="BM42" s="14">
        <v>0.09828426180893879</v>
      </c>
      <c r="BN42" s="56"/>
      <c r="BO42" s="9">
        <v>2143027.25</v>
      </c>
      <c r="BP42" s="14">
        <v>0.02167055277853774</v>
      </c>
      <c r="BQ42" s="10">
        <v>432</v>
      </c>
      <c r="BR42" s="14">
        <v>0.09083263246425567</v>
      </c>
      <c r="BS42" s="56"/>
      <c r="BT42" s="9">
        <v>1860955</v>
      </c>
      <c r="BU42" s="14">
        <v>0.01807981591368306</v>
      </c>
      <c r="BV42" s="10">
        <v>380</v>
      </c>
      <c r="BW42" s="14">
        <v>0.0794812800669316</v>
      </c>
      <c r="BX42" s="56"/>
      <c r="BY42" s="9">
        <v>1503732.43</v>
      </c>
      <c r="BZ42" s="14">
        <v>0.013926572398540447</v>
      </c>
      <c r="CA42" s="10">
        <v>307</v>
      </c>
      <c r="CB42" s="14">
        <v>0.06352162218084005</v>
      </c>
      <c r="CC42" s="56"/>
    </row>
    <row r="43" spans="1:81" ht="12.75">
      <c r="A43" s="8" t="s">
        <v>20</v>
      </c>
      <c r="B43" s="8"/>
      <c r="C43" s="8"/>
      <c r="D43" s="9">
        <v>1489564.71</v>
      </c>
      <c r="E43" s="14">
        <f t="shared" si="4"/>
        <v>0.0578928302101882</v>
      </c>
      <c r="F43" s="10">
        <v>210</v>
      </c>
      <c r="G43" s="14">
        <f t="shared" si="5"/>
        <v>0.11302475780409042</v>
      </c>
      <c r="H43" s="8"/>
      <c r="I43" s="8"/>
      <c r="J43" s="9">
        <v>1488529.56</v>
      </c>
      <c r="K43" s="14">
        <f t="shared" si="6"/>
        <v>0.06086543694606307</v>
      </c>
      <c r="L43" s="10">
        <v>211</v>
      </c>
      <c r="M43" s="14">
        <f t="shared" si="7"/>
        <v>0.11794298490776971</v>
      </c>
      <c r="N43" s="56"/>
      <c r="O43" s="55"/>
      <c r="P43" s="14">
        <v>0.11794298490776971</v>
      </c>
      <c r="Q43" s="9">
        <v>3144220.97</v>
      </c>
      <c r="R43" s="14">
        <v>0.05329288676424436</v>
      </c>
      <c r="S43" s="10">
        <v>447</v>
      </c>
      <c r="T43" s="14">
        <v>0.1065554231227652</v>
      </c>
      <c r="U43" s="56"/>
      <c r="V43" s="9">
        <v>3065382.28</v>
      </c>
      <c r="W43" s="14">
        <v>0.04847583529008197</v>
      </c>
      <c r="X43" s="10">
        <v>439</v>
      </c>
      <c r="Y43" s="14">
        <v>0.09963685882886972</v>
      </c>
      <c r="Z43" s="56"/>
      <c r="AA43" s="9">
        <v>3058460.07</v>
      </c>
      <c r="AB43" s="14">
        <v>0.047337568402766206</v>
      </c>
      <c r="AC43" s="10">
        <v>438</v>
      </c>
      <c r="AD43" s="14">
        <v>0.09792085848423876</v>
      </c>
      <c r="AE43" s="56"/>
      <c r="AF43" s="9">
        <v>2960105.56</v>
      </c>
      <c r="AG43" s="14">
        <v>0.05294382531605184</v>
      </c>
      <c r="AH43" s="10">
        <v>421</v>
      </c>
      <c r="AI43" s="14">
        <v>0.1049613562702568</v>
      </c>
      <c r="AJ43" s="56"/>
      <c r="AK43" s="9">
        <v>2680725.73</v>
      </c>
      <c r="AL43" s="14">
        <v>0.058276351844076944</v>
      </c>
      <c r="AM43" s="10">
        <v>380</v>
      </c>
      <c r="AN43" s="14">
        <v>0.10900745840504876</v>
      </c>
      <c r="AO43" s="56"/>
      <c r="AP43" s="9">
        <v>3140876.55</v>
      </c>
      <c r="AQ43" s="14">
        <v>0.04309181872472399</v>
      </c>
      <c r="AR43" s="10">
        <v>444</v>
      </c>
      <c r="AS43" s="14">
        <v>0.0985352862849534</v>
      </c>
      <c r="AT43" s="56"/>
      <c r="AU43" s="9">
        <v>2926996.76</v>
      </c>
      <c r="AV43" s="14">
        <v>0.04420926089816575</v>
      </c>
      <c r="AW43" s="10">
        <v>420</v>
      </c>
      <c r="AX43" s="14">
        <v>0.10878010878010878</v>
      </c>
      <c r="AY43" s="56"/>
      <c r="AZ43" s="9">
        <v>2484446.43</v>
      </c>
      <c r="BA43" s="14">
        <v>0.0381557733196628</v>
      </c>
      <c r="BB43" s="10">
        <v>359</v>
      </c>
      <c r="BC43" s="14">
        <v>0.09718462371413103</v>
      </c>
      <c r="BD43" s="56"/>
      <c r="BE43" s="9">
        <v>2339343.38</v>
      </c>
      <c r="BF43" s="14">
        <v>0.025985218386073292</v>
      </c>
      <c r="BG43" s="10">
        <v>340</v>
      </c>
      <c r="BH43" s="14">
        <v>0.07360900627841524</v>
      </c>
      <c r="BI43" s="56"/>
      <c r="BJ43" s="9">
        <v>1843223.29</v>
      </c>
      <c r="BK43" s="14">
        <v>0.019342902224301475</v>
      </c>
      <c r="BL43" s="10">
        <v>266</v>
      </c>
      <c r="BM43" s="14">
        <v>0.05634399491633128</v>
      </c>
      <c r="BN43" s="56"/>
      <c r="BO43" s="9">
        <v>1703936.91</v>
      </c>
      <c r="BP43" s="14">
        <v>0.01723041773708361</v>
      </c>
      <c r="BQ43" s="10">
        <v>246</v>
      </c>
      <c r="BR43" s="14">
        <v>0.05172413793103448</v>
      </c>
      <c r="BS43" s="56"/>
      <c r="BT43" s="9">
        <v>1542823.42</v>
      </c>
      <c r="BU43" s="14">
        <v>0.014989058532269145</v>
      </c>
      <c r="BV43" s="10">
        <v>223</v>
      </c>
      <c r="BW43" s="14">
        <v>0.04664296172348881</v>
      </c>
      <c r="BX43" s="56"/>
      <c r="BY43" s="9">
        <v>1267444.6</v>
      </c>
      <c r="BZ43" s="14">
        <v>0.011738231237746945</v>
      </c>
      <c r="CA43" s="10">
        <v>184</v>
      </c>
      <c r="CB43" s="14">
        <v>0.03807159114421684</v>
      </c>
      <c r="CC43" s="56"/>
    </row>
    <row r="44" spans="1:81" ht="12.75">
      <c r="A44" s="8" t="s">
        <v>21</v>
      </c>
      <c r="B44" s="8"/>
      <c r="C44" s="8"/>
      <c r="D44" s="9">
        <v>2226081.3</v>
      </c>
      <c r="E44" s="14">
        <f t="shared" si="4"/>
        <v>0.08651799137680632</v>
      </c>
      <c r="F44" s="10">
        <v>240</v>
      </c>
      <c r="G44" s="14">
        <f t="shared" si="5"/>
        <v>0.12917115177610333</v>
      </c>
      <c r="H44" s="8"/>
      <c r="I44" s="8"/>
      <c r="J44" s="9">
        <v>2133143.58</v>
      </c>
      <c r="K44" s="14">
        <f t="shared" si="6"/>
        <v>0.08722347177666344</v>
      </c>
      <c r="L44" s="10">
        <v>231</v>
      </c>
      <c r="M44" s="14">
        <f t="shared" si="7"/>
        <v>0.1291224147568474</v>
      </c>
      <c r="N44" s="56"/>
      <c r="O44" s="55"/>
      <c r="P44" s="14">
        <v>0.1291224147568474</v>
      </c>
      <c r="Q44" s="9">
        <v>4778469.07</v>
      </c>
      <c r="R44" s="14">
        <v>0.08099252994103466</v>
      </c>
      <c r="S44" s="10">
        <v>522</v>
      </c>
      <c r="T44" s="14">
        <v>0.12443384982121573</v>
      </c>
      <c r="U44" s="56"/>
      <c r="V44" s="9">
        <v>4997632.84</v>
      </c>
      <c r="W44" s="14">
        <v>0.07903236995032953</v>
      </c>
      <c r="X44" s="10">
        <v>552</v>
      </c>
      <c r="Y44" s="14">
        <v>0.12528370403994554</v>
      </c>
      <c r="Z44" s="56"/>
      <c r="AA44" s="9">
        <v>4844247.409999989</v>
      </c>
      <c r="AB44" s="14">
        <v>0.07497723948732068</v>
      </c>
      <c r="AC44" s="10">
        <v>540</v>
      </c>
      <c r="AD44" s="14">
        <v>0.12072434607645875</v>
      </c>
      <c r="AE44" s="56"/>
      <c r="AF44" s="9">
        <v>4337323.9999999935</v>
      </c>
      <c r="AG44" s="14">
        <v>0.07757646460253897</v>
      </c>
      <c r="AH44" s="10">
        <v>484</v>
      </c>
      <c r="AI44" s="14">
        <v>0.12066816255297931</v>
      </c>
      <c r="AJ44" s="56"/>
      <c r="AK44" s="9">
        <v>3573613.7300000056</v>
      </c>
      <c r="AL44" s="14">
        <v>0.07768686246179485</v>
      </c>
      <c r="AM44" s="10">
        <v>402</v>
      </c>
      <c r="AN44" s="14">
        <v>0.1153184165232358</v>
      </c>
      <c r="AO44" s="56"/>
      <c r="AP44" s="9">
        <v>3248749</v>
      </c>
      <c r="AQ44" s="14">
        <v>0.04457179413502525</v>
      </c>
      <c r="AR44" s="10">
        <v>362</v>
      </c>
      <c r="AS44" s="14">
        <v>0.08033732800710164</v>
      </c>
      <c r="AT44" s="56"/>
      <c r="AU44" s="9">
        <v>2540737</v>
      </c>
      <c r="AV44" s="14">
        <v>0.038375206437407536</v>
      </c>
      <c r="AW44" s="10">
        <v>283</v>
      </c>
      <c r="AX44" s="14">
        <v>0.0732970732970733</v>
      </c>
      <c r="AY44" s="56"/>
      <c r="AZ44" s="9">
        <v>2130680.69</v>
      </c>
      <c r="BA44" s="14">
        <v>0.032722689627170884</v>
      </c>
      <c r="BB44" s="10">
        <v>237</v>
      </c>
      <c r="BC44" s="14">
        <v>0.06415809420682188</v>
      </c>
      <c r="BD44" s="56"/>
      <c r="BE44" s="9">
        <v>2409355.54</v>
      </c>
      <c r="BF44" s="14">
        <v>0.026762907237925727</v>
      </c>
      <c r="BG44" s="10">
        <v>266</v>
      </c>
      <c r="BH44" s="14">
        <v>0.057588222558995456</v>
      </c>
      <c r="BI44" s="56"/>
      <c r="BJ44" s="9">
        <v>2261975.1</v>
      </c>
      <c r="BK44" s="14">
        <v>0.023737310303356973</v>
      </c>
      <c r="BL44" s="10">
        <v>250</v>
      </c>
      <c r="BM44" s="14">
        <v>0.052954882440160986</v>
      </c>
      <c r="BN44" s="56"/>
      <c r="BO44" s="9">
        <v>2115858.83</v>
      </c>
      <c r="BP44" s="14">
        <v>0.021395822403774904</v>
      </c>
      <c r="BQ44" s="10">
        <v>234</v>
      </c>
      <c r="BR44" s="14">
        <v>0.049201009251471826</v>
      </c>
      <c r="BS44" s="56"/>
      <c r="BT44" s="9">
        <v>1947321.54</v>
      </c>
      <c r="BU44" s="14">
        <v>0.018918896463348017</v>
      </c>
      <c r="BV44" s="10">
        <v>215</v>
      </c>
      <c r="BW44" s="14">
        <v>0.044969671616816566</v>
      </c>
      <c r="BX44" s="56"/>
      <c r="BY44" s="9">
        <v>1805422.26</v>
      </c>
      <c r="BZ44" s="14">
        <v>0.016720623504692583</v>
      </c>
      <c r="CA44" s="10">
        <v>200</v>
      </c>
      <c r="CB44" s="14">
        <v>0.04138216428719222</v>
      </c>
      <c r="CC44" s="56"/>
    </row>
    <row r="45" spans="1:81" ht="12.75">
      <c r="A45" s="8" t="s">
        <v>22</v>
      </c>
      <c r="B45" s="8"/>
      <c r="C45" s="8"/>
      <c r="D45" s="9">
        <v>2329250.09</v>
      </c>
      <c r="E45" s="14">
        <f t="shared" si="4"/>
        <v>0.09052770857966659</v>
      </c>
      <c r="F45" s="10">
        <v>210</v>
      </c>
      <c r="G45" s="14">
        <f t="shared" si="5"/>
        <v>0.11302475780409042</v>
      </c>
      <c r="H45" s="8"/>
      <c r="I45" s="8"/>
      <c r="J45" s="9">
        <v>2169272.75</v>
      </c>
      <c r="K45" s="14">
        <f t="shared" si="6"/>
        <v>0.08870078050981925</v>
      </c>
      <c r="L45" s="10">
        <v>196</v>
      </c>
      <c r="M45" s="14">
        <f t="shared" si="7"/>
        <v>0.10955841252096143</v>
      </c>
      <c r="N45" s="56"/>
      <c r="O45" s="55"/>
      <c r="P45" s="14">
        <v>0.10955841252096143</v>
      </c>
      <c r="Q45" s="9">
        <v>5410815.869999996</v>
      </c>
      <c r="R45" s="14">
        <v>0.0917104746178466</v>
      </c>
      <c r="S45" s="10">
        <v>489</v>
      </c>
      <c r="T45" s="14">
        <v>0.1165673420738975</v>
      </c>
      <c r="U45" s="56"/>
      <c r="V45" s="9">
        <v>5261255.43</v>
      </c>
      <c r="W45" s="14">
        <v>0.08320128726121861</v>
      </c>
      <c r="X45" s="10">
        <v>479</v>
      </c>
      <c r="Y45" s="14">
        <v>0.10871538810712665</v>
      </c>
      <c r="Z45" s="56"/>
      <c r="AA45" s="9">
        <v>4742124.03</v>
      </c>
      <c r="AB45" s="14">
        <v>0.07339661643662607</v>
      </c>
      <c r="AC45" s="10">
        <v>434</v>
      </c>
      <c r="AD45" s="14">
        <v>0.09702660406885759</v>
      </c>
      <c r="AE45" s="56"/>
      <c r="AF45" s="9">
        <v>3827456.42</v>
      </c>
      <c r="AG45" s="14">
        <v>0.06845708032968967</v>
      </c>
      <c r="AH45" s="10">
        <v>349</v>
      </c>
      <c r="AI45" s="14">
        <v>0.08701072051857392</v>
      </c>
      <c r="AJ45" s="56"/>
      <c r="AK45" s="9">
        <v>2947997.37</v>
      </c>
      <c r="AL45" s="14">
        <v>0.06408657552950546</v>
      </c>
      <c r="AM45" s="10">
        <v>270</v>
      </c>
      <c r="AN45" s="14">
        <v>0.0774526678141136</v>
      </c>
      <c r="AO45" s="56"/>
      <c r="AP45" s="9">
        <v>3671922.37</v>
      </c>
      <c r="AQ45" s="14">
        <v>0.05037759702440352</v>
      </c>
      <c r="AR45" s="10">
        <v>333</v>
      </c>
      <c r="AS45" s="14">
        <v>0.07390146471371505</v>
      </c>
      <c r="AT45" s="56"/>
      <c r="AU45" s="9">
        <v>3247048.05</v>
      </c>
      <c r="AV45" s="14">
        <v>0.049043304848526835</v>
      </c>
      <c r="AW45" s="10">
        <v>296</v>
      </c>
      <c r="AX45" s="14">
        <v>0.07666407666407667</v>
      </c>
      <c r="AY45" s="56"/>
      <c r="AZ45" s="9">
        <v>2863015.98</v>
      </c>
      <c r="BA45" s="14">
        <v>0.04396979038242024</v>
      </c>
      <c r="BB45" s="10">
        <v>262</v>
      </c>
      <c r="BC45" s="14">
        <v>0.07092582566323768</v>
      </c>
      <c r="BD45" s="56"/>
      <c r="BE45" s="9">
        <v>3340189.28</v>
      </c>
      <c r="BF45" s="14">
        <v>0.037102525706004294</v>
      </c>
      <c r="BG45" s="10">
        <v>302</v>
      </c>
      <c r="BH45" s="14">
        <v>0.06538211734141589</v>
      </c>
      <c r="BI45" s="56"/>
      <c r="BJ45" s="9">
        <v>3291184.53</v>
      </c>
      <c r="BK45" s="14">
        <v>0.034537899402260486</v>
      </c>
      <c r="BL45" s="10">
        <v>298</v>
      </c>
      <c r="BM45" s="14">
        <v>0.06312221986867189</v>
      </c>
      <c r="BN45" s="56"/>
      <c r="BO45" s="9">
        <v>3139890.32</v>
      </c>
      <c r="BP45" s="14">
        <v>0.031750953656039485</v>
      </c>
      <c r="BQ45" s="10">
        <v>284</v>
      </c>
      <c r="BR45" s="14">
        <v>0.05971404541631623</v>
      </c>
      <c r="BS45" s="56"/>
      <c r="BT45" s="9">
        <v>2975171.79</v>
      </c>
      <c r="BU45" s="14">
        <v>0.028904814073839998</v>
      </c>
      <c r="BV45" s="10">
        <v>269</v>
      </c>
      <c r="BW45" s="14">
        <v>0.056264379836854214</v>
      </c>
      <c r="BX45" s="56"/>
      <c r="BY45" s="9">
        <v>2761257.27</v>
      </c>
      <c r="BZ45" s="14">
        <v>0.025572933398564226</v>
      </c>
      <c r="CA45" s="10">
        <v>250</v>
      </c>
      <c r="CB45" s="14">
        <v>0.051727705358990274</v>
      </c>
      <c r="CC45" s="56"/>
    </row>
    <row r="46" spans="1:81" ht="12.75">
      <c r="A46" s="8" t="s">
        <v>23</v>
      </c>
      <c r="B46" s="8"/>
      <c r="C46" s="8"/>
      <c r="D46" s="9">
        <v>1815489.55</v>
      </c>
      <c r="E46" s="14">
        <f t="shared" si="4"/>
        <v>0.07056009555068003</v>
      </c>
      <c r="F46" s="10">
        <v>140</v>
      </c>
      <c r="G46" s="14">
        <f t="shared" si="5"/>
        <v>0.07534983853606028</v>
      </c>
      <c r="H46" s="8"/>
      <c r="I46" s="8"/>
      <c r="J46" s="9">
        <v>1727620.02</v>
      </c>
      <c r="K46" s="14">
        <f t="shared" si="6"/>
        <v>0.07064175963967166</v>
      </c>
      <c r="L46" s="10">
        <v>133</v>
      </c>
      <c r="M46" s="14">
        <f t="shared" si="7"/>
        <v>0.07434320849636669</v>
      </c>
      <c r="N46" s="56"/>
      <c r="O46" s="55"/>
      <c r="P46" s="14">
        <v>0.07434320849636669</v>
      </c>
      <c r="Q46" s="9">
        <v>3231940.55</v>
      </c>
      <c r="R46" s="14">
        <v>0.05477968737035667</v>
      </c>
      <c r="S46" s="10">
        <v>250</v>
      </c>
      <c r="T46" s="14">
        <v>0.05959475566150179</v>
      </c>
      <c r="U46" s="56"/>
      <c r="V46" s="9">
        <v>3440669</v>
      </c>
      <c r="W46" s="14">
        <v>0.05441060477836745</v>
      </c>
      <c r="X46" s="10">
        <v>265</v>
      </c>
      <c r="Y46" s="14">
        <v>0.06014525646845211</v>
      </c>
      <c r="Z46" s="56"/>
      <c r="AA46" s="9">
        <v>3404291.2</v>
      </c>
      <c r="AB46" s="14">
        <v>0.0526901982875765</v>
      </c>
      <c r="AC46" s="10">
        <v>263</v>
      </c>
      <c r="AD46" s="14">
        <v>0.058797227811312316</v>
      </c>
      <c r="AE46" s="56"/>
      <c r="AF46" s="9">
        <v>2951166.34</v>
      </c>
      <c r="AG46" s="14">
        <v>0.052783940307713925</v>
      </c>
      <c r="AH46" s="10">
        <v>227</v>
      </c>
      <c r="AI46" s="14">
        <v>0.056594365494889054</v>
      </c>
      <c r="AJ46" s="56"/>
      <c r="AK46" s="9">
        <v>2590485.79</v>
      </c>
      <c r="AL46" s="14">
        <v>0.05631462393025999</v>
      </c>
      <c r="AM46" s="10">
        <v>199</v>
      </c>
      <c r="AN46" s="14">
        <v>0.05708548479632817</v>
      </c>
      <c r="AO46" s="56"/>
      <c r="AP46" s="9">
        <v>2860777.77</v>
      </c>
      <c r="AQ46" s="14">
        <v>0.039248953314182336</v>
      </c>
      <c r="AR46" s="10">
        <v>219</v>
      </c>
      <c r="AS46" s="14">
        <v>0.04860186418109188</v>
      </c>
      <c r="AT46" s="56"/>
      <c r="AU46" s="9">
        <v>2472678.19</v>
      </c>
      <c r="AV46" s="14">
        <v>0.03734724845370664</v>
      </c>
      <c r="AW46" s="10">
        <v>189</v>
      </c>
      <c r="AX46" s="14">
        <v>0.04895104895104895</v>
      </c>
      <c r="AY46" s="56"/>
      <c r="AZ46" s="9">
        <v>2383358.73</v>
      </c>
      <c r="BA46" s="14">
        <v>0.03660328286543875</v>
      </c>
      <c r="BB46" s="10">
        <v>182</v>
      </c>
      <c r="BC46" s="14">
        <v>0.049269085002707096</v>
      </c>
      <c r="BD46" s="56"/>
      <c r="BE46" s="9">
        <v>2935360.69</v>
      </c>
      <c r="BF46" s="14">
        <v>0.0326057257022032</v>
      </c>
      <c r="BG46" s="10">
        <v>224</v>
      </c>
      <c r="BH46" s="14">
        <v>0.04849534531283828</v>
      </c>
      <c r="BI46" s="56"/>
      <c r="BJ46" s="9">
        <v>3206840.91</v>
      </c>
      <c r="BK46" s="14">
        <v>0.03365279209933374</v>
      </c>
      <c r="BL46" s="10">
        <v>244</v>
      </c>
      <c r="BM46" s="14">
        <v>0.05168396526159712</v>
      </c>
      <c r="BN46" s="56"/>
      <c r="BO46" s="9">
        <v>3250657.89</v>
      </c>
      <c r="BP46" s="14">
        <v>0.032871048826007734</v>
      </c>
      <c r="BQ46" s="10">
        <v>248</v>
      </c>
      <c r="BR46" s="14">
        <v>0.05214465937762826</v>
      </c>
      <c r="BS46" s="56"/>
      <c r="BT46" s="9">
        <v>3166520.87</v>
      </c>
      <c r="BU46" s="14">
        <v>0.03076383599626836</v>
      </c>
      <c r="BV46" s="10">
        <v>242</v>
      </c>
      <c r="BW46" s="14">
        <v>0.050617025726835393</v>
      </c>
      <c r="BX46" s="56"/>
      <c r="BY46" s="9">
        <v>2984241</v>
      </c>
      <c r="BZ46" s="14">
        <v>0.02763806080925761</v>
      </c>
      <c r="CA46" s="10">
        <v>229</v>
      </c>
      <c r="CB46" s="14">
        <v>0.047382578108835095</v>
      </c>
      <c r="CC46" s="56"/>
    </row>
    <row r="47" spans="1:81" ht="12.75">
      <c r="A47" s="8" t="s">
        <v>24</v>
      </c>
      <c r="B47" s="8"/>
      <c r="C47" s="8"/>
      <c r="D47" s="9">
        <v>2003546.13</v>
      </c>
      <c r="E47" s="14">
        <f t="shared" si="4"/>
        <v>0.07786902787349846</v>
      </c>
      <c r="F47" s="10">
        <v>134</v>
      </c>
      <c r="G47" s="14">
        <f t="shared" si="5"/>
        <v>0.0721205597416577</v>
      </c>
      <c r="H47" s="8"/>
      <c r="I47" s="8"/>
      <c r="J47" s="9">
        <v>1772488.93</v>
      </c>
      <c r="K47" s="14">
        <f t="shared" si="6"/>
        <v>0.07247643318988559</v>
      </c>
      <c r="L47" s="10">
        <v>119</v>
      </c>
      <c r="M47" s="14">
        <f t="shared" si="7"/>
        <v>0.0665176076020123</v>
      </c>
      <c r="N47" s="56"/>
      <c r="O47" s="55"/>
      <c r="P47" s="14">
        <v>0.0665176076020123</v>
      </c>
      <c r="Q47" s="9">
        <v>4349080.43</v>
      </c>
      <c r="R47" s="14">
        <v>0.07371461900929348</v>
      </c>
      <c r="S47" s="10">
        <v>292</v>
      </c>
      <c r="T47" s="14">
        <v>0.06960667461263409</v>
      </c>
      <c r="U47" s="56"/>
      <c r="V47" s="9">
        <v>4165132.41</v>
      </c>
      <c r="W47" s="14">
        <v>0.06586724076337451</v>
      </c>
      <c r="X47" s="10">
        <v>280</v>
      </c>
      <c r="Y47" s="14">
        <v>0.06354970494779846</v>
      </c>
      <c r="Z47" s="56"/>
      <c r="AA47" s="9">
        <v>4112445.18</v>
      </c>
      <c r="AB47" s="14">
        <v>0.0636507100159317</v>
      </c>
      <c r="AC47" s="10">
        <v>276</v>
      </c>
      <c r="AD47" s="14">
        <v>0.06170355466130114</v>
      </c>
      <c r="AE47" s="56"/>
      <c r="AF47" s="9">
        <v>3351057.62</v>
      </c>
      <c r="AG47" s="14">
        <v>0.059936311614949354</v>
      </c>
      <c r="AH47" s="10">
        <v>224</v>
      </c>
      <c r="AI47" s="14">
        <v>0.055846422338568937</v>
      </c>
      <c r="AJ47" s="56"/>
      <c r="AK47" s="9">
        <v>2610088.56</v>
      </c>
      <c r="AL47" s="14">
        <v>0.05674076895093635</v>
      </c>
      <c r="AM47" s="10">
        <v>175</v>
      </c>
      <c r="AN47" s="14">
        <v>0.050200803212851405</v>
      </c>
      <c r="AO47" s="56"/>
      <c r="AP47" s="9">
        <v>3847011.51</v>
      </c>
      <c r="AQ47" s="14">
        <v>0.05277976385950179</v>
      </c>
      <c r="AR47" s="10">
        <v>257</v>
      </c>
      <c r="AS47" s="14">
        <v>0.05703506435863293</v>
      </c>
      <c r="AT47" s="56"/>
      <c r="AU47" s="9">
        <v>3702785.14</v>
      </c>
      <c r="AV47" s="14">
        <v>0.055926742571492064</v>
      </c>
      <c r="AW47" s="10">
        <v>247</v>
      </c>
      <c r="AX47" s="14">
        <v>0.06397306397306397</v>
      </c>
      <c r="AY47" s="56"/>
      <c r="AZ47" s="9">
        <v>3321021.92</v>
      </c>
      <c r="BA47" s="14">
        <v>0.05100378017373931</v>
      </c>
      <c r="BB47" s="10">
        <v>223</v>
      </c>
      <c r="BC47" s="14">
        <v>0.06036816459122902</v>
      </c>
      <c r="BD47" s="56"/>
      <c r="BE47" s="9">
        <v>4095311.2</v>
      </c>
      <c r="BF47" s="14">
        <v>0.045490352891644346</v>
      </c>
      <c r="BG47" s="10">
        <v>276</v>
      </c>
      <c r="BH47" s="14">
        <v>0.05975319333189002</v>
      </c>
      <c r="BI47" s="56"/>
      <c r="BJ47" s="9">
        <v>4175433.85</v>
      </c>
      <c r="BK47" s="14">
        <v>0.043817267903873254</v>
      </c>
      <c r="BL47" s="10">
        <v>280</v>
      </c>
      <c r="BM47" s="14">
        <v>0.0593094683329803</v>
      </c>
      <c r="BN47" s="56"/>
      <c r="BO47" s="9">
        <v>4205392.79</v>
      </c>
      <c r="BP47" s="14">
        <v>0.042525444513212364</v>
      </c>
      <c r="BQ47" s="10">
        <v>282</v>
      </c>
      <c r="BR47" s="14">
        <v>0.059293523969722456</v>
      </c>
      <c r="BS47" s="56"/>
      <c r="BT47" s="9">
        <v>3802798.7</v>
      </c>
      <c r="BU47" s="14">
        <v>0.03694549328317625</v>
      </c>
      <c r="BV47" s="10">
        <v>255</v>
      </c>
      <c r="BW47" s="14">
        <v>0.05333612215017779</v>
      </c>
      <c r="BX47" s="56"/>
      <c r="BY47" s="9">
        <v>3765744.01</v>
      </c>
      <c r="BZ47" s="14">
        <v>0.03487582334686698</v>
      </c>
      <c r="CA47" s="10">
        <v>252</v>
      </c>
      <c r="CB47" s="14">
        <v>0.0521415270018622</v>
      </c>
      <c r="CC47" s="56"/>
    </row>
    <row r="48" spans="1:81" ht="12.75">
      <c r="A48" s="8" t="s">
        <v>0</v>
      </c>
      <c r="B48" s="8"/>
      <c r="C48" s="8"/>
      <c r="D48" s="9">
        <v>2005940.34</v>
      </c>
      <c r="E48" s="14">
        <f t="shared" si="4"/>
        <v>0.07796208028813142</v>
      </c>
      <c r="F48" s="10">
        <v>117</v>
      </c>
      <c r="G48" s="14">
        <f t="shared" si="5"/>
        <v>0.06297093649085038</v>
      </c>
      <c r="H48" s="8"/>
      <c r="I48" s="8"/>
      <c r="J48" s="9">
        <v>1816605.54</v>
      </c>
      <c r="K48" s="14">
        <f t="shared" si="6"/>
        <v>0.07428034546437819</v>
      </c>
      <c r="L48" s="10">
        <v>107</v>
      </c>
      <c r="M48" s="14">
        <f t="shared" si="7"/>
        <v>0.05980994969256568</v>
      </c>
      <c r="N48" s="56"/>
      <c r="O48" s="55"/>
      <c r="P48" s="14">
        <v>0.05980994969256568</v>
      </c>
      <c r="Q48" s="9">
        <v>4336405.25</v>
      </c>
      <c r="R48" s="14">
        <v>0.07349978139485679</v>
      </c>
      <c r="S48" s="10">
        <v>255</v>
      </c>
      <c r="T48" s="14">
        <v>0.060786650774731825</v>
      </c>
      <c r="U48" s="56"/>
      <c r="V48" s="9">
        <v>4612959.5</v>
      </c>
      <c r="W48" s="14">
        <v>0.07294916082108326</v>
      </c>
      <c r="X48" s="10">
        <v>272</v>
      </c>
      <c r="Y48" s="14">
        <v>0.06173399909214707</v>
      </c>
      <c r="Z48" s="56"/>
      <c r="AA48" s="9">
        <v>5209010.35</v>
      </c>
      <c r="AB48" s="14">
        <v>0.08062288802542454</v>
      </c>
      <c r="AC48" s="10">
        <v>307</v>
      </c>
      <c r="AD48" s="14">
        <v>0.06863402638050525</v>
      </c>
      <c r="AE48" s="56"/>
      <c r="AF48" s="9">
        <v>4155030.57</v>
      </c>
      <c r="AG48" s="14">
        <v>0.0743160026634101</v>
      </c>
      <c r="AH48" s="10">
        <v>246</v>
      </c>
      <c r="AI48" s="14">
        <v>0.061331338818249814</v>
      </c>
      <c r="AJ48" s="56"/>
      <c r="AK48" s="9">
        <v>3369476.98</v>
      </c>
      <c r="AL48" s="14">
        <v>0.07324912945010524</v>
      </c>
      <c r="AM48" s="10">
        <v>200</v>
      </c>
      <c r="AN48" s="14">
        <v>0.05737234652897304</v>
      </c>
      <c r="AO48" s="56"/>
      <c r="AP48" s="9">
        <v>5150986.77</v>
      </c>
      <c r="AQ48" s="14">
        <v>0.07066988613299417</v>
      </c>
      <c r="AR48" s="10">
        <v>303</v>
      </c>
      <c r="AS48" s="14">
        <v>0.06724367509986684</v>
      </c>
      <c r="AT48" s="56"/>
      <c r="AU48" s="9">
        <v>4120762.08</v>
      </c>
      <c r="AV48" s="14">
        <v>0.06223985225524757</v>
      </c>
      <c r="AW48" s="10">
        <v>243</v>
      </c>
      <c r="AX48" s="14">
        <v>0.06293706293706294</v>
      </c>
      <c r="AY48" s="56"/>
      <c r="AZ48" s="9">
        <v>4177285.6</v>
      </c>
      <c r="BA48" s="14">
        <v>0.06415415543698874</v>
      </c>
      <c r="BB48" s="10">
        <v>247</v>
      </c>
      <c r="BC48" s="14">
        <v>0.0668651867893882</v>
      </c>
      <c r="BD48" s="56"/>
      <c r="BE48" s="9">
        <v>5954857.629999995</v>
      </c>
      <c r="BF48" s="14">
        <v>0.06614602939288243</v>
      </c>
      <c r="BG48" s="10">
        <v>351</v>
      </c>
      <c r="BH48" s="14">
        <v>0.07599047412859926</v>
      </c>
      <c r="BI48" s="56"/>
      <c r="BJ48" s="9">
        <v>6032900.0100000035</v>
      </c>
      <c r="BK48" s="14">
        <v>0.06330963571017892</v>
      </c>
      <c r="BL48" s="10">
        <v>355</v>
      </c>
      <c r="BM48" s="14">
        <v>0.0751959330650286</v>
      </c>
      <c r="BN48" s="56"/>
      <c r="BO48" s="9">
        <v>5962709.949999998</v>
      </c>
      <c r="BP48" s="14">
        <v>0.060295649845137085</v>
      </c>
      <c r="BQ48" s="10">
        <v>351</v>
      </c>
      <c r="BR48" s="14">
        <v>0.07380151387720774</v>
      </c>
      <c r="BS48" s="56"/>
      <c r="BT48" s="9">
        <v>5881683.260000003</v>
      </c>
      <c r="BU48" s="14">
        <v>0.057142569596465964</v>
      </c>
      <c r="BV48" s="10">
        <v>346</v>
      </c>
      <c r="BW48" s="14">
        <v>0.07236979711357457</v>
      </c>
      <c r="BX48" s="56"/>
      <c r="BY48" s="9">
        <v>5673951.9</v>
      </c>
      <c r="BZ48" s="14">
        <v>0.052548379182848444</v>
      </c>
      <c r="CA48" s="10">
        <v>333</v>
      </c>
      <c r="CB48" s="14">
        <v>0.06890130353817504</v>
      </c>
      <c r="CC48" s="56"/>
    </row>
    <row r="49" spans="1:81" ht="12.75">
      <c r="A49" s="8" t="s">
        <v>1</v>
      </c>
      <c r="B49" s="8"/>
      <c r="C49" s="8"/>
      <c r="D49" s="9">
        <v>1911639.16</v>
      </c>
      <c r="E49" s="14">
        <f t="shared" si="4"/>
        <v>0.07429700809240224</v>
      </c>
      <c r="F49" s="10">
        <v>98</v>
      </c>
      <c r="G49" s="14">
        <f t="shared" si="5"/>
        <v>0.0527448869752422</v>
      </c>
      <c r="H49" s="8"/>
      <c r="I49" s="8"/>
      <c r="J49" s="9">
        <v>2033931.76</v>
      </c>
      <c r="K49" s="14">
        <f t="shared" si="6"/>
        <v>0.08316673623255093</v>
      </c>
      <c r="L49" s="10">
        <v>105</v>
      </c>
      <c r="M49" s="14">
        <f t="shared" si="7"/>
        <v>0.05869200670765791</v>
      </c>
      <c r="N49" s="56"/>
      <c r="O49" s="55"/>
      <c r="P49" s="14">
        <v>0.05869200670765791</v>
      </c>
      <c r="Q49" s="9">
        <v>4797604.14</v>
      </c>
      <c r="R49" s="14">
        <v>0.0813168592831724</v>
      </c>
      <c r="S49" s="10">
        <v>249</v>
      </c>
      <c r="T49" s="14">
        <v>0.05935637663885578</v>
      </c>
      <c r="U49" s="56"/>
      <c r="V49" s="9">
        <v>4929808.57</v>
      </c>
      <c r="W49" s="14">
        <v>0.0779597996015539</v>
      </c>
      <c r="X49" s="10">
        <v>257</v>
      </c>
      <c r="Y49" s="14">
        <v>0.05832955061280073</v>
      </c>
      <c r="Z49" s="56"/>
      <c r="AA49" s="9">
        <v>4815079.71</v>
      </c>
      <c r="AB49" s="14">
        <v>0.07452579400093223</v>
      </c>
      <c r="AC49" s="10">
        <v>251</v>
      </c>
      <c r="AD49" s="14">
        <v>0.05611446456516879</v>
      </c>
      <c r="AE49" s="56"/>
      <c r="AF49" s="9">
        <v>4138346.8</v>
      </c>
      <c r="AG49" s="14">
        <v>0.07401760026302646</v>
      </c>
      <c r="AH49" s="10">
        <v>217</v>
      </c>
      <c r="AI49" s="14">
        <v>0.05410122164048865</v>
      </c>
      <c r="AJ49" s="56"/>
      <c r="AK49" s="9">
        <v>3424082.55</v>
      </c>
      <c r="AL49" s="14">
        <v>0.07443620106073451</v>
      </c>
      <c r="AM49" s="10">
        <v>180</v>
      </c>
      <c r="AN49" s="14">
        <v>0.05163511187607573</v>
      </c>
      <c r="AO49" s="56"/>
      <c r="AP49" s="9">
        <v>3791290.44</v>
      </c>
      <c r="AQ49" s="14">
        <v>0.052015288653499914</v>
      </c>
      <c r="AR49" s="10">
        <v>199</v>
      </c>
      <c r="AS49" s="14">
        <v>0.04416333777185974</v>
      </c>
      <c r="AT49" s="56"/>
      <c r="AU49" s="9">
        <v>3289633.61</v>
      </c>
      <c r="AV49" s="14">
        <v>0.04968651571854315</v>
      </c>
      <c r="AW49" s="10">
        <v>173</v>
      </c>
      <c r="AX49" s="14">
        <v>0.04480704480704481</v>
      </c>
      <c r="AY49" s="56"/>
      <c r="AZ49" s="9">
        <v>3058586.8</v>
      </c>
      <c r="BA49" s="14">
        <v>0.046973339094823166</v>
      </c>
      <c r="BB49" s="10">
        <v>161</v>
      </c>
      <c r="BC49" s="14">
        <v>0.04358419057931781</v>
      </c>
      <c r="BD49" s="56"/>
      <c r="BE49" s="9">
        <v>4376852.31</v>
      </c>
      <c r="BF49" s="14">
        <v>0.048617686523189915</v>
      </c>
      <c r="BG49" s="10">
        <v>230</v>
      </c>
      <c r="BH49" s="14">
        <v>0.04979432777657502</v>
      </c>
      <c r="BI49" s="56"/>
      <c r="BJ49" s="9">
        <v>4024004.72</v>
      </c>
      <c r="BK49" s="14">
        <v>0.04222816100000971</v>
      </c>
      <c r="BL49" s="10">
        <v>212</v>
      </c>
      <c r="BM49" s="14">
        <v>0.044905740309256516</v>
      </c>
      <c r="BN49" s="56"/>
      <c r="BO49" s="9">
        <v>4050147.33</v>
      </c>
      <c r="BP49" s="14">
        <v>0.04095558349788538</v>
      </c>
      <c r="BQ49" s="10">
        <v>213</v>
      </c>
      <c r="BR49" s="14">
        <v>0.044785534062237176</v>
      </c>
      <c r="BS49" s="56"/>
      <c r="BT49" s="9">
        <v>4053013.25</v>
      </c>
      <c r="BU49" s="14">
        <v>0.03937641343058712</v>
      </c>
      <c r="BV49" s="10">
        <v>213</v>
      </c>
      <c r="BW49" s="14">
        <v>0.044551349090148504</v>
      </c>
      <c r="BX49" s="56"/>
      <c r="BY49" s="9">
        <v>4110498.53</v>
      </c>
      <c r="BZ49" s="14">
        <v>0.038068711048639875</v>
      </c>
      <c r="CA49" s="10">
        <v>216</v>
      </c>
      <c r="CB49" s="14">
        <v>0.0446927374301676</v>
      </c>
      <c r="CC49" s="56"/>
    </row>
    <row r="50" spans="1:81" ht="12.75">
      <c r="A50" s="8" t="s">
        <v>2</v>
      </c>
      <c r="B50" s="8"/>
      <c r="C50" s="8"/>
      <c r="D50" s="9">
        <v>3401500.63</v>
      </c>
      <c r="E50" s="14">
        <f t="shared" si="4"/>
        <v>0.13220137205884677</v>
      </c>
      <c r="F50" s="10">
        <v>151</v>
      </c>
      <c r="G50" s="14">
        <f t="shared" si="5"/>
        <v>0.08127018299246501</v>
      </c>
      <c r="H50" s="8"/>
      <c r="I50" s="8"/>
      <c r="J50" s="9">
        <v>3589428.97</v>
      </c>
      <c r="K50" s="14">
        <f t="shared" si="6"/>
        <v>0.1467704562386434</v>
      </c>
      <c r="L50" s="10">
        <v>158</v>
      </c>
      <c r="M50" s="14">
        <f t="shared" si="7"/>
        <v>0.08831749580771381</v>
      </c>
      <c r="N50" s="56"/>
      <c r="O50" s="55"/>
      <c r="P50" s="14">
        <v>0.08831749580771381</v>
      </c>
      <c r="Q50" s="9">
        <v>8324535.220000009</v>
      </c>
      <c r="R50" s="14">
        <v>0.14109648052007753</v>
      </c>
      <c r="S50" s="10">
        <v>364</v>
      </c>
      <c r="T50" s="14">
        <v>0.0867699642431466</v>
      </c>
      <c r="U50" s="56"/>
      <c r="V50" s="9">
        <v>9309071.86</v>
      </c>
      <c r="W50" s="14">
        <v>0.14721329771270705</v>
      </c>
      <c r="X50" s="10">
        <v>408</v>
      </c>
      <c r="Y50" s="14">
        <v>0.0926009986382206</v>
      </c>
      <c r="Z50" s="56"/>
      <c r="AA50" s="9">
        <v>9473573.559999991</v>
      </c>
      <c r="AB50" s="14">
        <v>0.14662801741764675</v>
      </c>
      <c r="AC50" s="10">
        <v>416</v>
      </c>
      <c r="AD50" s="14">
        <v>0.0930024591996423</v>
      </c>
      <c r="AE50" s="56"/>
      <c r="AF50" s="9">
        <v>8046897.889999992</v>
      </c>
      <c r="AG50" s="14">
        <v>0.1439251228001023</v>
      </c>
      <c r="AH50" s="10">
        <v>355</v>
      </c>
      <c r="AI50" s="14">
        <v>0.08850660683121415</v>
      </c>
      <c r="AJ50" s="56"/>
      <c r="AK50" s="9">
        <v>6476141.510000001</v>
      </c>
      <c r="AL50" s="14">
        <v>0.14078497363801254</v>
      </c>
      <c r="AM50" s="10">
        <v>286</v>
      </c>
      <c r="AN50" s="14">
        <v>0.08204245553643144</v>
      </c>
      <c r="AO50" s="56"/>
      <c r="AP50" s="9">
        <v>8503777.950000001</v>
      </c>
      <c r="AQ50" s="14">
        <v>0.11666910560260792</v>
      </c>
      <c r="AR50" s="10">
        <v>374</v>
      </c>
      <c r="AS50" s="14">
        <v>0.08300044385264092</v>
      </c>
      <c r="AT50" s="56"/>
      <c r="AU50" s="9">
        <v>7906886.6499999985</v>
      </c>
      <c r="AV50" s="14">
        <v>0.11942535078244294</v>
      </c>
      <c r="AW50" s="10">
        <v>348</v>
      </c>
      <c r="AX50" s="14">
        <v>0.09013209013209013</v>
      </c>
      <c r="AY50" s="56"/>
      <c r="AZ50" s="9">
        <v>7574817.289999998</v>
      </c>
      <c r="BA50" s="14">
        <v>0.11633296172745518</v>
      </c>
      <c r="BB50" s="10">
        <v>333</v>
      </c>
      <c r="BC50" s="14">
        <v>0.09014618299945858</v>
      </c>
      <c r="BD50" s="56"/>
      <c r="BE50" s="9">
        <v>10352249.330000008</v>
      </c>
      <c r="BF50" s="14">
        <v>0.11499186563501913</v>
      </c>
      <c r="BG50" s="10">
        <v>455</v>
      </c>
      <c r="BH50" s="14">
        <v>0.09850617016670275</v>
      </c>
      <c r="BI50" s="56"/>
      <c r="BJ50" s="9">
        <v>10957430.070000002</v>
      </c>
      <c r="BK50" s="14">
        <v>0.11498796679898231</v>
      </c>
      <c r="BL50" s="10">
        <v>484</v>
      </c>
      <c r="BM50" s="14">
        <v>0.10252065240415166</v>
      </c>
      <c r="BN50" s="56"/>
      <c r="BO50" s="9">
        <v>10977335.53999998</v>
      </c>
      <c r="BP50" s="14">
        <v>0.1110041550742239</v>
      </c>
      <c r="BQ50" s="10">
        <v>484</v>
      </c>
      <c r="BR50" s="14">
        <v>0.10176619007569386</v>
      </c>
      <c r="BS50" s="56"/>
      <c r="BT50" s="9">
        <v>11448270.330000006</v>
      </c>
      <c r="BU50" s="14">
        <v>0.11122387166614976</v>
      </c>
      <c r="BV50" s="10">
        <v>505</v>
      </c>
      <c r="BW50" s="14">
        <v>0.10562643798368543</v>
      </c>
      <c r="BX50" s="56"/>
      <c r="BY50" s="9">
        <v>11836564.549999999</v>
      </c>
      <c r="BZ50" s="14">
        <v>0.1096224101222398</v>
      </c>
      <c r="CA50" s="10">
        <v>521</v>
      </c>
      <c r="CB50" s="14">
        <v>0.10780053796813574</v>
      </c>
      <c r="CC50" s="56"/>
    </row>
    <row r="51" spans="1:81" ht="12.75">
      <c r="A51" s="8" t="s">
        <v>3</v>
      </c>
      <c r="B51" s="8"/>
      <c r="C51" s="8"/>
      <c r="D51" s="9">
        <v>2676899.51</v>
      </c>
      <c r="E51" s="14">
        <f t="shared" si="4"/>
        <v>0.10403931281519552</v>
      </c>
      <c r="F51" s="10">
        <v>98</v>
      </c>
      <c r="G51" s="14">
        <f t="shared" si="5"/>
        <v>0.0527448869752422</v>
      </c>
      <c r="H51" s="8"/>
      <c r="I51" s="8"/>
      <c r="J51" s="9">
        <v>2120550.43</v>
      </c>
      <c r="K51" s="14">
        <f t="shared" si="6"/>
        <v>0.0867085424142413</v>
      </c>
      <c r="L51" s="10">
        <v>77</v>
      </c>
      <c r="M51" s="14">
        <f t="shared" si="7"/>
        <v>0.043040804918949134</v>
      </c>
      <c r="N51" s="56"/>
      <c r="O51" s="55"/>
      <c r="P51" s="14">
        <v>0.043040804918949134</v>
      </c>
      <c r="Q51" s="9">
        <v>6181636.799999998</v>
      </c>
      <c r="R51" s="14">
        <v>0.10477548274862043</v>
      </c>
      <c r="S51" s="10">
        <v>223</v>
      </c>
      <c r="T51" s="14">
        <v>0.053158522050059595</v>
      </c>
      <c r="U51" s="56"/>
      <c r="V51" s="9">
        <v>7017298.210000001</v>
      </c>
      <c r="W51" s="14">
        <v>0.11097127899145647</v>
      </c>
      <c r="X51" s="10">
        <v>253</v>
      </c>
      <c r="Y51" s="14">
        <v>0.057421697684975036</v>
      </c>
      <c r="Z51" s="56"/>
      <c r="AA51" s="9">
        <v>7436464.220000002</v>
      </c>
      <c r="AB51" s="14">
        <v>0.11509848931556384</v>
      </c>
      <c r="AC51" s="10">
        <v>268</v>
      </c>
      <c r="AD51" s="14">
        <v>0.05991504583053879</v>
      </c>
      <c r="AE51" s="56"/>
      <c r="AF51" s="9">
        <v>6324474.249999999</v>
      </c>
      <c r="AG51" s="14">
        <v>0.11311821592871432</v>
      </c>
      <c r="AH51" s="10">
        <v>229</v>
      </c>
      <c r="AI51" s="14">
        <v>0.05709299426576914</v>
      </c>
      <c r="AJ51" s="56"/>
      <c r="AK51" s="9">
        <v>5097041.09</v>
      </c>
      <c r="AL51" s="14">
        <v>0.11080468121017277</v>
      </c>
      <c r="AM51" s="10">
        <v>185</v>
      </c>
      <c r="AN51" s="14">
        <v>0.053069420539300055</v>
      </c>
      <c r="AO51" s="56"/>
      <c r="AP51" s="9">
        <v>9086905.650000006</v>
      </c>
      <c r="AQ51" s="14">
        <v>0.1246694305888814</v>
      </c>
      <c r="AR51" s="10">
        <v>328</v>
      </c>
      <c r="AS51" s="14">
        <v>0.07279183311140701</v>
      </c>
      <c r="AT51" s="56"/>
      <c r="AU51" s="9">
        <v>8183071.000000001</v>
      </c>
      <c r="AV51" s="14">
        <v>0.12359682994224236</v>
      </c>
      <c r="AW51" s="10">
        <v>296</v>
      </c>
      <c r="AX51" s="14">
        <v>0.07666407666407667</v>
      </c>
      <c r="AY51" s="56"/>
      <c r="AZ51" s="9">
        <v>7874737.649999999</v>
      </c>
      <c r="BA51" s="14">
        <v>0.1209390957667839</v>
      </c>
      <c r="BB51" s="10">
        <v>285</v>
      </c>
      <c r="BC51" s="14">
        <v>0.07715213860314023</v>
      </c>
      <c r="BD51" s="56"/>
      <c r="BE51" s="9">
        <v>11823429.439999992</v>
      </c>
      <c r="BF51" s="14">
        <v>0.13133360356474408</v>
      </c>
      <c r="BG51" s="10">
        <v>425</v>
      </c>
      <c r="BH51" s="14">
        <v>0.09201125784801906</v>
      </c>
      <c r="BI51" s="56"/>
      <c r="BJ51" s="9">
        <v>12151537.829999987</v>
      </c>
      <c r="BK51" s="14">
        <v>0.12751900944165603</v>
      </c>
      <c r="BL51" s="10">
        <v>437</v>
      </c>
      <c r="BM51" s="14">
        <v>0.0925651345054014</v>
      </c>
      <c r="BN51" s="56"/>
      <c r="BO51" s="9">
        <v>13202919.049999997</v>
      </c>
      <c r="BP51" s="14">
        <v>0.13350952681716308</v>
      </c>
      <c r="BQ51" s="10">
        <v>476</v>
      </c>
      <c r="BR51" s="14">
        <v>0.10008410428931876</v>
      </c>
      <c r="BS51" s="56"/>
      <c r="BT51" s="9">
        <v>13313529.51000001</v>
      </c>
      <c r="BU51" s="14">
        <v>0.12934550416436036</v>
      </c>
      <c r="BV51" s="10">
        <v>482</v>
      </c>
      <c r="BW51" s="14">
        <v>0.10081572892700272</v>
      </c>
      <c r="BX51" s="56"/>
      <c r="BY51" s="9">
        <v>14004838.040000016</v>
      </c>
      <c r="BZ51" s="14">
        <v>0.1297035210538709</v>
      </c>
      <c r="CA51" s="10">
        <v>507</v>
      </c>
      <c r="CB51" s="14">
        <v>0.10490378646803228</v>
      </c>
      <c r="CC51" s="56"/>
    </row>
    <row r="52" spans="1:81" ht="12.75">
      <c r="A52" s="8" t="s">
        <v>4</v>
      </c>
      <c r="B52" s="8"/>
      <c r="C52" s="8"/>
      <c r="D52" s="9">
        <f>3442151.36-23229.83</f>
        <v>3418921.53</v>
      </c>
      <c r="E52" s="14">
        <f t="shared" si="4"/>
        <v>0.13287844583686925</v>
      </c>
      <c r="F52" s="10">
        <v>96</v>
      </c>
      <c r="G52" s="14">
        <f t="shared" si="5"/>
        <v>0.05166846071044134</v>
      </c>
      <c r="H52" s="8"/>
      <c r="I52" s="8"/>
      <c r="J52" s="9">
        <v>3280998.26</v>
      </c>
      <c r="K52" s="14">
        <f t="shared" si="6"/>
        <v>0.13415883572656268</v>
      </c>
      <c r="L52" s="10">
        <v>92</v>
      </c>
      <c r="M52" s="14">
        <f t="shared" si="7"/>
        <v>0.05142537730575741</v>
      </c>
      <c r="N52" s="56"/>
      <c r="O52" s="55"/>
      <c r="P52" s="14">
        <v>0.05142537730575741</v>
      </c>
      <c r="Q52" s="9">
        <v>7362776.129999999</v>
      </c>
      <c r="R52" s="14">
        <v>0.12479517130329777</v>
      </c>
      <c r="S52" s="10">
        <v>204</v>
      </c>
      <c r="T52" s="14">
        <v>0.048629320619785456</v>
      </c>
      <c r="U52" s="56"/>
      <c r="V52" s="9">
        <v>8489046.099999996</v>
      </c>
      <c r="W52" s="14">
        <v>0.13424544246843897</v>
      </c>
      <c r="X52" s="10">
        <v>236</v>
      </c>
      <c r="Y52" s="14">
        <v>0.053563322741715845</v>
      </c>
      <c r="Z52" s="56"/>
      <c r="AA52" s="9">
        <v>9186976.209999999</v>
      </c>
      <c r="AB52" s="14">
        <v>0.14219218325628194</v>
      </c>
      <c r="AC52" s="10">
        <v>255</v>
      </c>
      <c r="AD52" s="14">
        <v>0.05700871898054997</v>
      </c>
      <c r="AE52" s="56"/>
      <c r="AF52" s="9">
        <v>8332190.220000002</v>
      </c>
      <c r="AG52" s="14">
        <v>0.14902780139631086</v>
      </c>
      <c r="AH52" s="10">
        <v>231</v>
      </c>
      <c r="AI52" s="14">
        <v>0.05759162303664921</v>
      </c>
      <c r="AJ52" s="56"/>
      <c r="AK52" s="9">
        <v>6665891.05</v>
      </c>
      <c r="AL52" s="14">
        <v>0.14490994279526076</v>
      </c>
      <c r="AM52" s="10">
        <v>185</v>
      </c>
      <c r="AN52" s="14">
        <v>0.053069420539300055</v>
      </c>
      <c r="AO52" s="56"/>
      <c r="AP52" s="9">
        <v>14916090.759999992</v>
      </c>
      <c r="AQ52" s="14">
        <v>0.20464398039185902</v>
      </c>
      <c r="AR52" s="10">
        <v>405</v>
      </c>
      <c r="AS52" s="14">
        <v>0.08988015978695073</v>
      </c>
      <c r="AT52" s="56"/>
      <c r="AU52" s="9">
        <v>14298185.219999995</v>
      </c>
      <c r="AV52" s="14">
        <v>0.2159593100339741</v>
      </c>
      <c r="AW52" s="10">
        <v>386</v>
      </c>
      <c r="AX52" s="14">
        <v>0.09997409997409998</v>
      </c>
      <c r="AY52" s="56"/>
      <c r="AZ52" s="9">
        <v>15191127.600000015</v>
      </c>
      <c r="BA52" s="14">
        <v>0.23330316732797263</v>
      </c>
      <c r="BB52" s="10">
        <v>411</v>
      </c>
      <c r="BC52" s="14">
        <v>0.11126150514347591</v>
      </c>
      <c r="BD52" s="56"/>
      <c r="BE52" s="9">
        <v>21340127.320000004</v>
      </c>
      <c r="BF52" s="14">
        <v>0.23704423794202023</v>
      </c>
      <c r="BG52" s="10">
        <v>578</v>
      </c>
      <c r="BH52" s="14">
        <v>0.1251353106733059</v>
      </c>
      <c r="BI52" s="56"/>
      <c r="BJ52" s="9">
        <v>23751529.789999995</v>
      </c>
      <c r="BK52" s="14">
        <v>0.24925006150804102</v>
      </c>
      <c r="BL52" s="10">
        <v>645</v>
      </c>
      <c r="BM52" s="14">
        <v>0.13662359669561533</v>
      </c>
      <c r="BN52" s="56"/>
      <c r="BO52" s="9">
        <v>25094717.529999986</v>
      </c>
      <c r="BP52" s="14">
        <v>0.2537608426100792</v>
      </c>
      <c r="BQ52" s="10">
        <v>681</v>
      </c>
      <c r="BR52" s="14">
        <v>0.14318755256518081</v>
      </c>
      <c r="BS52" s="56"/>
      <c r="BT52" s="9">
        <v>27565841.720000003</v>
      </c>
      <c r="BU52" s="14">
        <v>0.26781160415126887</v>
      </c>
      <c r="BV52" s="10">
        <v>751</v>
      </c>
      <c r="BW52" s="14">
        <v>0.15708010876385695</v>
      </c>
      <c r="BX52" s="56"/>
      <c r="BY52" s="9">
        <v>30395019.079999976</v>
      </c>
      <c r="BZ52" s="14">
        <v>0.2814985068671012</v>
      </c>
      <c r="CA52" s="10">
        <v>829</v>
      </c>
      <c r="CB52" s="14">
        <v>0.17152907097041176</v>
      </c>
      <c r="CC52" s="56"/>
    </row>
    <row r="53" spans="1:81" ht="12.75">
      <c r="A53" s="8" t="s">
        <v>5</v>
      </c>
      <c r="B53" s="8"/>
      <c r="C53" s="8"/>
      <c r="D53" s="9">
        <v>785203.06</v>
      </c>
      <c r="E53" s="14">
        <f t="shared" si="4"/>
        <v>0.030517390166352843</v>
      </c>
      <c r="F53" s="10">
        <v>16</v>
      </c>
      <c r="G53" s="14">
        <f t="shared" si="5"/>
        <v>0.008611410118406888</v>
      </c>
      <c r="H53" s="8"/>
      <c r="I53" s="8"/>
      <c r="J53" s="9">
        <v>735883.53</v>
      </c>
      <c r="K53" s="14">
        <f t="shared" si="6"/>
        <v>0.030090012182802276</v>
      </c>
      <c r="L53" s="10">
        <v>15</v>
      </c>
      <c r="M53" s="14">
        <f t="shared" si="7"/>
        <v>0.008384572386808273</v>
      </c>
      <c r="N53" s="56"/>
      <c r="O53" s="55"/>
      <c r="P53" s="14">
        <v>0.008384572386808273</v>
      </c>
      <c r="Q53" s="9">
        <v>3202807.79</v>
      </c>
      <c r="R53" s="14">
        <v>0.05428590245682052</v>
      </c>
      <c r="S53" s="10">
        <v>63</v>
      </c>
      <c r="T53" s="14">
        <v>0.015017878426698451</v>
      </c>
      <c r="U53" s="56"/>
      <c r="V53" s="9">
        <v>3995753.04</v>
      </c>
      <c r="W53" s="14">
        <v>0.06318868204160304</v>
      </c>
      <c r="X53" s="10">
        <v>79</v>
      </c>
      <c r="Y53" s="14">
        <v>0.017930095324557423</v>
      </c>
      <c r="Z53" s="56"/>
      <c r="AA53" s="9">
        <v>4424718.15</v>
      </c>
      <c r="AB53" s="14">
        <v>0.06848394070699317</v>
      </c>
      <c r="AC53" s="10">
        <v>87</v>
      </c>
      <c r="AD53" s="14">
        <v>0.019450033534540577</v>
      </c>
      <c r="AE53" s="56"/>
      <c r="AF53" s="9">
        <v>3846191.93</v>
      </c>
      <c r="AG53" s="14">
        <v>0.06879217972008006</v>
      </c>
      <c r="AH53" s="10">
        <v>76</v>
      </c>
      <c r="AI53" s="14">
        <v>0.01894789329344303</v>
      </c>
      <c r="AJ53" s="56"/>
      <c r="AK53" s="9">
        <v>3143851.01</v>
      </c>
      <c r="AL53" s="14">
        <v>0.06834424184234499</v>
      </c>
      <c r="AM53" s="10">
        <v>62</v>
      </c>
      <c r="AN53" s="14">
        <v>0.01778542742398164</v>
      </c>
      <c r="AO53" s="56"/>
      <c r="AP53" s="9">
        <v>11028914.820000006</v>
      </c>
      <c r="AQ53" s="14">
        <v>0.1513131734368426</v>
      </c>
      <c r="AR53" s="10">
        <v>205</v>
      </c>
      <c r="AS53" s="14">
        <v>0.04549489569462938</v>
      </c>
      <c r="AT53" s="56"/>
      <c r="AU53" s="9">
        <v>10209114.849999992</v>
      </c>
      <c r="AV53" s="14">
        <v>0.15419812830369797</v>
      </c>
      <c r="AW53" s="10">
        <v>186</v>
      </c>
      <c r="AX53" s="14">
        <v>0.048174048174048176</v>
      </c>
      <c r="AY53" s="56"/>
      <c r="AZ53" s="9">
        <v>10768950.469999991</v>
      </c>
      <c r="BA53" s="14">
        <v>0.16538800276083884</v>
      </c>
      <c r="BB53" s="10">
        <v>195</v>
      </c>
      <c r="BC53" s="14">
        <v>0.052788305360043315</v>
      </c>
      <c r="BD53" s="56"/>
      <c r="BE53" s="9">
        <v>17629363.62</v>
      </c>
      <c r="BF53" s="14">
        <v>0.19582540450867725</v>
      </c>
      <c r="BG53" s="10">
        <v>324</v>
      </c>
      <c r="BH53" s="14">
        <v>0.07014505304178394</v>
      </c>
      <c r="BI53" s="56"/>
      <c r="BJ53" s="9">
        <v>20047263.16000001</v>
      </c>
      <c r="BK53" s="14">
        <v>0.21037725232341292</v>
      </c>
      <c r="BL53" s="10">
        <v>366</v>
      </c>
      <c r="BM53" s="14">
        <v>0.07752594789239568</v>
      </c>
      <c r="BN53" s="56"/>
      <c r="BO53" s="9">
        <v>21891619.14000001</v>
      </c>
      <c r="BP53" s="14">
        <v>0.22137072124538645</v>
      </c>
      <c r="BQ53" s="10">
        <v>400</v>
      </c>
      <c r="BR53" s="14">
        <v>0.08410428931875526</v>
      </c>
      <c r="BS53" s="56"/>
      <c r="BT53" s="9">
        <v>24156209.180000007</v>
      </c>
      <c r="BU53" s="14">
        <v>0.2346858549222421</v>
      </c>
      <c r="BV53" s="10">
        <v>443</v>
      </c>
      <c r="BW53" s="14">
        <v>0.09265843965697552</v>
      </c>
      <c r="BX53" s="56"/>
      <c r="BY53" s="9">
        <v>26525597.68999999</v>
      </c>
      <c r="BZ53" s="14">
        <v>0.2456624923919091</v>
      </c>
      <c r="CA53" s="10">
        <v>486</v>
      </c>
      <c r="CB53" s="14">
        <v>0.1005586592178771</v>
      </c>
      <c r="CC53" s="56"/>
    </row>
    <row r="54" spans="1:81" ht="12.75">
      <c r="A54" s="8"/>
      <c r="B54" s="8"/>
      <c r="C54" s="8"/>
      <c r="D54" s="9"/>
      <c r="E54" s="8"/>
      <c r="F54" s="10"/>
      <c r="G54" s="8"/>
      <c r="H54" s="8"/>
      <c r="I54" s="8"/>
      <c r="J54" s="9"/>
      <c r="K54" s="8"/>
      <c r="L54" s="10"/>
      <c r="M54" s="63"/>
      <c r="N54" s="54"/>
      <c r="O54" s="55"/>
      <c r="P54" s="8"/>
      <c r="Q54" s="9"/>
      <c r="R54" s="8"/>
      <c r="S54" s="10"/>
      <c r="T54" s="63"/>
      <c r="U54" s="54"/>
      <c r="V54" s="9"/>
      <c r="W54" s="8"/>
      <c r="X54" s="10"/>
      <c r="Y54" s="63"/>
      <c r="Z54" s="54"/>
      <c r="AA54" s="9"/>
      <c r="AB54" s="8"/>
      <c r="AC54" s="10"/>
      <c r="AD54" s="63"/>
      <c r="AE54" s="54"/>
      <c r="AF54" s="9"/>
      <c r="AG54" s="8"/>
      <c r="AH54" s="10"/>
      <c r="AI54" s="63"/>
      <c r="AJ54" s="54"/>
      <c r="AK54" s="9"/>
      <c r="AL54" s="8"/>
      <c r="AM54" s="10"/>
      <c r="AN54" s="63"/>
      <c r="AO54" s="54"/>
      <c r="AP54" s="9"/>
      <c r="AQ54" s="8"/>
      <c r="AR54" s="10"/>
      <c r="AS54" s="63"/>
      <c r="AT54" s="54"/>
      <c r="AU54" s="9"/>
      <c r="AV54" s="8"/>
      <c r="AW54" s="10"/>
      <c r="AX54" s="63"/>
      <c r="AY54" s="54"/>
      <c r="AZ54" s="9"/>
      <c r="BA54" s="8"/>
      <c r="BB54" s="10"/>
      <c r="BC54" s="63"/>
      <c r="BD54" s="54"/>
      <c r="BE54" s="9"/>
      <c r="BF54" s="8"/>
      <c r="BG54" s="10"/>
      <c r="BH54" s="63"/>
      <c r="BI54" s="54"/>
      <c r="BJ54" s="9"/>
      <c r="BK54" s="8"/>
      <c r="BL54" s="10"/>
      <c r="BM54" s="63"/>
      <c r="BN54" s="54"/>
      <c r="BO54" s="9"/>
      <c r="BP54" s="8"/>
      <c r="BQ54" s="10"/>
      <c r="BR54" s="63"/>
      <c r="BS54" s="54"/>
      <c r="BT54" s="9"/>
      <c r="BU54" s="8"/>
      <c r="BV54" s="10"/>
      <c r="BW54" s="63"/>
      <c r="BX54" s="54"/>
      <c r="BY54" s="9"/>
      <c r="BZ54" s="8"/>
      <c r="CA54" s="10"/>
      <c r="CB54" s="63"/>
      <c r="CC54" s="54"/>
    </row>
    <row r="55" spans="1:81" ht="13.5" thickBot="1">
      <c r="A55" s="8"/>
      <c r="B55" s="12"/>
      <c r="C55" s="12"/>
      <c r="D55" s="21">
        <f>SUM(D40:D54)</f>
        <v>25729692.34</v>
      </c>
      <c r="E55" s="23"/>
      <c r="F55" s="22">
        <f>SUM(F40:F53)</f>
        <v>1858</v>
      </c>
      <c r="G55" s="12"/>
      <c r="H55" s="8"/>
      <c r="I55" s="8"/>
      <c r="J55" s="21">
        <f>SUM(J40:J53)</f>
        <v>24456072.85</v>
      </c>
      <c r="K55" s="23"/>
      <c r="L55" s="22">
        <f>SUM(L40:L53)</f>
        <v>1789</v>
      </c>
      <c r="M55" s="30"/>
      <c r="N55" s="57"/>
      <c r="O55" s="31"/>
      <c r="P55" s="12"/>
      <c r="Q55" s="21">
        <f>SUM(Q40:Q53)</f>
        <v>58998886.36000001</v>
      </c>
      <c r="R55" s="23"/>
      <c r="S55" s="22">
        <f>SUM(S40:S53)</f>
        <v>4195</v>
      </c>
      <c r="T55" s="30"/>
      <c r="U55" s="57"/>
      <c r="V55" s="21">
        <f>SUM(V40:V53)</f>
        <v>63235264.779999994</v>
      </c>
      <c r="W55" s="23"/>
      <c r="X55" s="22">
        <f>SUM(X40:X53)</f>
        <v>4406</v>
      </c>
      <c r="Y55" s="30"/>
      <c r="Z55" s="57"/>
      <c r="AA55" s="21">
        <f>SUM(AA40:AA53)</f>
        <v>64609572.759999976</v>
      </c>
      <c r="AB55" s="23"/>
      <c r="AC55" s="22">
        <f>SUM(AC40:AC53)</f>
        <v>4473</v>
      </c>
      <c r="AD55" s="30"/>
      <c r="AE55" s="57"/>
      <c r="AF55" s="21">
        <f>SUM(AF40:AF53)</f>
        <v>55910307.61999999</v>
      </c>
      <c r="AG55" s="23"/>
      <c r="AH55" s="22">
        <f>SUM(AH40:AH53)</f>
        <v>4011</v>
      </c>
      <c r="AI55" s="30"/>
      <c r="AJ55" s="57"/>
      <c r="AK55" s="21">
        <f>SUM(AK40:AK53)</f>
        <v>46000232.43</v>
      </c>
      <c r="AL55" s="23"/>
      <c r="AM55" s="22">
        <f>SUM(AM40:AM53)</f>
        <v>3486</v>
      </c>
      <c r="AN55" s="30"/>
      <c r="AO55" s="57"/>
      <c r="AP55" s="21">
        <f>SUM(AP40:AP53)</f>
        <v>72888001.55</v>
      </c>
      <c r="AQ55" s="23"/>
      <c r="AR55" s="22">
        <f>SUM(AR40:AR53)</f>
        <v>4506</v>
      </c>
      <c r="AS55" s="30"/>
      <c r="AT55" s="57"/>
      <c r="AU55" s="21">
        <f>SUM(AU40:AU53)</f>
        <v>66207774.12999998</v>
      </c>
      <c r="AV55" s="23"/>
      <c r="AW55" s="22">
        <f>SUM(AW40:AW53)</f>
        <v>3861</v>
      </c>
      <c r="AX55" s="30"/>
      <c r="AY55" s="57"/>
      <c r="AZ55" s="21">
        <f>SUM(AZ40:AZ53)</f>
        <v>65113250.60000001</v>
      </c>
      <c r="BA55" s="23"/>
      <c r="BB55" s="22">
        <f>SUM(BB40:BB53)</f>
        <v>3694</v>
      </c>
      <c r="BC55" s="30"/>
      <c r="BD55" s="57"/>
      <c r="BE55" s="21">
        <f>SUM(BE40:BE53)</f>
        <v>90025927.25</v>
      </c>
      <c r="BF55" s="23"/>
      <c r="BG55" s="22">
        <f>SUM(BG40:BG53)</f>
        <v>4619</v>
      </c>
      <c r="BH55" s="30"/>
      <c r="BI55" s="57"/>
      <c r="BJ55" s="21">
        <f>SUM(BJ40:BJ53)</f>
        <v>95291971.63</v>
      </c>
      <c r="BK55" s="23"/>
      <c r="BL55" s="22">
        <f>SUM(BL40:BL53)</f>
        <v>4721</v>
      </c>
      <c r="BM55" s="30"/>
      <c r="BN55" s="57"/>
      <c r="BO55" s="21">
        <f>SUM(BO40:BO53)</f>
        <v>98891212.96999998</v>
      </c>
      <c r="BP55" s="23"/>
      <c r="BQ55" s="22">
        <f>SUM(BQ40:BQ53)</f>
        <v>4756</v>
      </c>
      <c r="BR55" s="30"/>
      <c r="BS55" s="57"/>
      <c r="BT55" s="21">
        <f>SUM(BT40:BT53)</f>
        <v>102929975.00000001</v>
      </c>
      <c r="BU55" s="23"/>
      <c r="BV55" s="22">
        <f>SUM(BV40:BV53)</f>
        <v>4781</v>
      </c>
      <c r="BW55" s="30"/>
      <c r="BX55" s="57"/>
      <c r="BY55" s="21">
        <f>SUM(BY40:BY53)</f>
        <v>107975773.71999997</v>
      </c>
      <c r="BZ55" s="23"/>
      <c r="CA55" s="22">
        <f>SUM(CA40:CA53)</f>
        <v>4833</v>
      </c>
      <c r="CB55" s="30"/>
      <c r="CC55" s="57"/>
    </row>
    <row r="56" spans="1:81" ht="13.5" thickTop="1">
      <c r="A56" s="8"/>
      <c r="B56" s="8"/>
      <c r="C56" s="8"/>
      <c r="D56" s="9"/>
      <c r="E56" s="8"/>
      <c r="F56" s="10"/>
      <c r="G56" s="8"/>
      <c r="H56" s="8"/>
      <c r="I56" s="8"/>
      <c r="J56" s="9"/>
      <c r="K56" s="8"/>
      <c r="L56" s="10"/>
      <c r="M56" s="63"/>
      <c r="N56" s="54"/>
      <c r="O56" s="55"/>
      <c r="P56" s="8"/>
      <c r="Q56" s="9"/>
      <c r="R56" s="8"/>
      <c r="S56" s="10"/>
      <c r="T56" s="63"/>
      <c r="U56" s="54"/>
      <c r="V56" s="9"/>
      <c r="W56" s="8"/>
      <c r="X56" s="10"/>
      <c r="Y56" s="63"/>
      <c r="Z56" s="54"/>
      <c r="AA56" s="9"/>
      <c r="AB56" s="8"/>
      <c r="AC56" s="10"/>
      <c r="AD56" s="63"/>
      <c r="AE56" s="54"/>
      <c r="AF56" s="9"/>
      <c r="AG56" s="8"/>
      <c r="AH56" s="10"/>
      <c r="AI56" s="63"/>
      <c r="AJ56" s="54"/>
      <c r="AK56" s="9"/>
      <c r="AL56" s="8"/>
      <c r="AM56" s="10"/>
      <c r="AN56" s="63"/>
      <c r="AO56" s="54"/>
      <c r="AP56" s="9"/>
      <c r="AQ56" s="8"/>
      <c r="AR56" s="10"/>
      <c r="AS56" s="63"/>
      <c r="AT56" s="54"/>
      <c r="AU56" s="9"/>
      <c r="AV56" s="8"/>
      <c r="AW56" s="10"/>
      <c r="AX56" s="63"/>
      <c r="AY56" s="54"/>
      <c r="AZ56" s="9"/>
      <c r="BA56" s="8"/>
      <c r="BB56" s="10"/>
      <c r="BC56" s="63"/>
      <c r="BD56" s="54"/>
      <c r="BE56" s="9"/>
      <c r="BF56" s="8"/>
      <c r="BG56" s="10"/>
      <c r="BH56" s="63"/>
      <c r="BI56" s="54"/>
      <c r="BJ56" s="9"/>
      <c r="BK56" s="8"/>
      <c r="BL56" s="10"/>
      <c r="BM56" s="63"/>
      <c r="BN56" s="54"/>
      <c r="BO56" s="9"/>
      <c r="BP56" s="8"/>
      <c r="BQ56" s="10"/>
      <c r="BR56" s="63"/>
      <c r="BS56" s="54"/>
      <c r="BT56" s="9"/>
      <c r="BU56" s="8"/>
      <c r="BV56" s="10"/>
      <c r="BW56" s="63"/>
      <c r="BX56" s="54"/>
      <c r="BY56" s="9"/>
      <c r="BZ56" s="8"/>
      <c r="CA56" s="10"/>
      <c r="CB56" s="63"/>
      <c r="CC56" s="54"/>
    </row>
    <row r="57" spans="1:81" ht="12.75">
      <c r="A57" s="8"/>
      <c r="B57" s="8"/>
      <c r="C57" s="8"/>
      <c r="D57" s="9"/>
      <c r="E57" s="8"/>
      <c r="F57" s="10"/>
      <c r="G57" s="8"/>
      <c r="H57" s="8"/>
      <c r="I57" s="8"/>
      <c r="J57" s="8"/>
      <c r="K57" s="8"/>
      <c r="L57" s="8"/>
      <c r="M57" s="9"/>
      <c r="N57" s="8"/>
      <c r="O57" s="10"/>
      <c r="P57" s="8"/>
      <c r="Q57" s="8"/>
      <c r="R57" s="8"/>
      <c r="S57" s="8"/>
      <c r="T57" s="9"/>
      <c r="U57" s="8"/>
      <c r="V57" s="8"/>
      <c r="W57" s="8"/>
      <c r="X57" s="8"/>
      <c r="Y57" s="9"/>
      <c r="Z57" s="8"/>
      <c r="AA57" s="8"/>
      <c r="AB57" s="8"/>
      <c r="AC57" s="8"/>
      <c r="AD57" s="9"/>
      <c r="AE57" s="8"/>
      <c r="AF57" s="8"/>
      <c r="AG57" s="8"/>
      <c r="AH57" s="8"/>
      <c r="AI57" s="9"/>
      <c r="AJ57" s="8"/>
      <c r="AK57" s="8"/>
      <c r="AL57" s="8"/>
      <c r="AM57" s="8"/>
      <c r="AN57" s="9"/>
      <c r="AO57" s="8"/>
      <c r="AP57" s="8"/>
      <c r="AQ57" s="8"/>
      <c r="AR57" s="8"/>
      <c r="AS57" s="9"/>
      <c r="AT57" s="8"/>
      <c r="AU57" s="8"/>
      <c r="AV57" s="8"/>
      <c r="AW57" s="8"/>
      <c r="AX57" s="9"/>
      <c r="AY57" s="8"/>
      <c r="AZ57" s="8"/>
      <c r="BA57" s="8"/>
      <c r="BB57" s="8"/>
      <c r="BC57" s="9"/>
      <c r="BD57" s="8"/>
      <c r="BE57" s="8"/>
      <c r="BF57" s="8"/>
      <c r="BG57" s="8"/>
      <c r="BH57" s="9"/>
      <c r="BI57" s="8"/>
      <c r="BJ57" s="8"/>
      <c r="BK57" s="8"/>
      <c r="BL57" s="8"/>
      <c r="BM57" s="9"/>
      <c r="BN57" s="8"/>
      <c r="BO57" s="8"/>
      <c r="BP57" s="8"/>
      <c r="BQ57" s="8"/>
      <c r="BR57" s="9"/>
      <c r="BS57" s="8"/>
      <c r="BT57" s="8"/>
      <c r="BU57" s="8"/>
      <c r="BV57" s="8"/>
      <c r="BW57" s="9"/>
      <c r="BX57" s="8"/>
      <c r="BY57" s="8"/>
      <c r="BZ57" s="8"/>
      <c r="CA57" s="8"/>
      <c r="CB57" s="9"/>
      <c r="CC57" s="8"/>
    </row>
    <row r="58" spans="1:81" ht="12.75">
      <c r="A58" s="19" t="s">
        <v>109</v>
      </c>
      <c r="B58" s="8"/>
      <c r="C58" s="8"/>
      <c r="D58" s="9"/>
      <c r="E58" s="8"/>
      <c r="F58" s="10"/>
      <c r="G58" s="8"/>
      <c r="H58" s="8"/>
      <c r="I58" s="8"/>
      <c r="J58" s="19" t="s">
        <v>109</v>
      </c>
      <c r="K58" s="8"/>
      <c r="L58" s="8"/>
      <c r="M58" s="9"/>
      <c r="N58" s="8"/>
      <c r="O58" s="10"/>
      <c r="P58" s="8"/>
      <c r="Q58" s="19" t="s">
        <v>109</v>
      </c>
      <c r="R58" s="8"/>
      <c r="S58" s="8"/>
      <c r="T58" s="9"/>
      <c r="U58" s="8"/>
      <c r="V58" s="19" t="s">
        <v>109</v>
      </c>
      <c r="W58" s="8"/>
      <c r="X58" s="8"/>
      <c r="Y58" s="9"/>
      <c r="Z58" s="8"/>
      <c r="AA58" s="19" t="s">
        <v>109</v>
      </c>
      <c r="AB58" s="8"/>
      <c r="AC58" s="8"/>
      <c r="AD58" s="9"/>
      <c r="AE58" s="8"/>
      <c r="AF58" s="19" t="s">
        <v>109</v>
      </c>
      <c r="AG58" s="8"/>
      <c r="AH58" s="8"/>
      <c r="AI58" s="9"/>
      <c r="AJ58" s="8"/>
      <c r="AK58" s="19" t="s">
        <v>109</v>
      </c>
      <c r="AL58" s="8"/>
      <c r="AM58" s="8"/>
      <c r="AN58" s="9"/>
      <c r="AO58" s="8"/>
      <c r="AP58" s="19" t="s">
        <v>109</v>
      </c>
      <c r="AQ58" s="8"/>
      <c r="AR58" s="8"/>
      <c r="AS58" s="9"/>
      <c r="AT58" s="8"/>
      <c r="AU58" s="19" t="s">
        <v>109</v>
      </c>
      <c r="AV58" s="8"/>
      <c r="AW58" s="8"/>
      <c r="AX58" s="9"/>
      <c r="AY58" s="8"/>
      <c r="AZ58" s="19" t="s">
        <v>109</v>
      </c>
      <c r="BA58" s="8"/>
      <c r="BB58" s="8"/>
      <c r="BC58" s="9"/>
      <c r="BD58" s="8"/>
      <c r="BE58" s="19" t="s">
        <v>109</v>
      </c>
      <c r="BF58" s="8"/>
      <c r="BG58" s="8"/>
      <c r="BH58" s="9"/>
      <c r="BI58" s="8"/>
      <c r="BJ58" s="19" t="s">
        <v>109</v>
      </c>
      <c r="BK58" s="8"/>
      <c r="BL58" s="8"/>
      <c r="BM58" s="9"/>
      <c r="BN58" s="8"/>
      <c r="BO58" s="19" t="s">
        <v>109</v>
      </c>
      <c r="BP58" s="8"/>
      <c r="BQ58" s="8"/>
      <c r="BR58" s="9"/>
      <c r="BS58" s="8"/>
      <c r="BT58" s="19" t="s">
        <v>109</v>
      </c>
      <c r="BU58" s="8"/>
      <c r="BV58" s="8"/>
      <c r="BW58" s="9"/>
      <c r="BX58" s="8"/>
      <c r="BY58" s="19" t="s">
        <v>109</v>
      </c>
      <c r="BZ58" s="8"/>
      <c r="CA58" s="8"/>
      <c r="CB58" s="9"/>
      <c r="CC58" s="8"/>
    </row>
    <row r="59" spans="1:81" ht="12.75">
      <c r="A59" s="19"/>
      <c r="B59" s="8"/>
      <c r="C59" s="8"/>
      <c r="D59" s="9"/>
      <c r="E59" s="8"/>
      <c r="F59" s="10"/>
      <c r="G59" s="8"/>
      <c r="H59" s="8"/>
      <c r="I59" s="8"/>
      <c r="J59" s="19"/>
      <c r="K59" s="8"/>
      <c r="L59" s="8"/>
      <c r="M59" s="9"/>
      <c r="N59" s="8"/>
      <c r="O59" s="10"/>
      <c r="P59" s="8"/>
      <c r="Q59" s="19"/>
      <c r="R59" s="8"/>
      <c r="S59" s="8"/>
      <c r="T59" s="9"/>
      <c r="U59" s="8"/>
      <c r="V59" s="19"/>
      <c r="W59" s="8"/>
      <c r="X59" s="8"/>
      <c r="Y59" s="9"/>
      <c r="Z59" s="8"/>
      <c r="AA59" s="19"/>
      <c r="AB59" s="8"/>
      <c r="AC59" s="8"/>
      <c r="AD59" s="9"/>
      <c r="AE59" s="8"/>
      <c r="AF59" s="19"/>
      <c r="AG59" s="8"/>
      <c r="AH59" s="8"/>
      <c r="AI59" s="9"/>
      <c r="AJ59" s="8"/>
      <c r="AK59" s="19"/>
      <c r="AL59" s="8"/>
      <c r="AM59" s="8"/>
      <c r="AN59" s="9"/>
      <c r="AO59" s="8"/>
      <c r="AP59" s="19"/>
      <c r="AQ59" s="8"/>
      <c r="AR59" s="8"/>
      <c r="AS59" s="9"/>
      <c r="AT59" s="8"/>
      <c r="AU59" s="19"/>
      <c r="AV59" s="8"/>
      <c r="AW59" s="8"/>
      <c r="AX59" s="9"/>
      <c r="AY59" s="8"/>
      <c r="AZ59" s="19"/>
      <c r="BA59" s="8"/>
      <c r="BB59" s="8"/>
      <c r="BC59" s="9"/>
      <c r="BD59" s="8"/>
      <c r="BE59" s="19"/>
      <c r="BF59" s="8"/>
      <c r="BG59" s="8"/>
      <c r="BH59" s="9"/>
      <c r="BI59" s="8"/>
      <c r="BJ59" s="19"/>
      <c r="BK59" s="8"/>
      <c r="BL59" s="8"/>
      <c r="BM59" s="9"/>
      <c r="BN59" s="8"/>
      <c r="BO59" s="19"/>
      <c r="BP59" s="8"/>
      <c r="BQ59" s="8"/>
      <c r="BR59" s="9"/>
      <c r="BS59" s="8"/>
      <c r="BT59" s="19"/>
      <c r="BU59" s="8"/>
      <c r="BV59" s="8"/>
      <c r="BW59" s="9"/>
      <c r="BX59" s="8"/>
      <c r="BY59" s="19"/>
      <c r="BZ59" s="8"/>
      <c r="CA59" s="8"/>
      <c r="CB59" s="9"/>
      <c r="CC59" s="8"/>
    </row>
    <row r="60" spans="1:81" s="29" customFormat="1" ht="12.75">
      <c r="A60" s="25"/>
      <c r="B60" s="26"/>
      <c r="C60" s="26"/>
      <c r="D60" s="27" t="s">
        <v>99</v>
      </c>
      <c r="E60" s="26" t="s">
        <v>100</v>
      </c>
      <c r="F60" s="28" t="s">
        <v>101</v>
      </c>
      <c r="G60" s="26" t="s">
        <v>100</v>
      </c>
      <c r="H60" s="25"/>
      <c r="I60" s="25"/>
      <c r="J60" s="27" t="s">
        <v>99</v>
      </c>
      <c r="K60" s="26" t="s">
        <v>100</v>
      </c>
      <c r="L60" s="28" t="s">
        <v>101</v>
      </c>
      <c r="M60" s="26" t="s">
        <v>100</v>
      </c>
      <c r="N60" s="64"/>
      <c r="O60" s="65"/>
      <c r="P60" s="12" t="s">
        <v>140</v>
      </c>
      <c r="Q60" s="27" t="s">
        <v>99</v>
      </c>
      <c r="R60" s="26" t="s">
        <v>100</v>
      </c>
      <c r="S60" s="28" t="s">
        <v>101</v>
      </c>
      <c r="T60" s="26" t="s">
        <v>100</v>
      </c>
      <c r="U60" s="64"/>
      <c r="V60" s="27" t="s">
        <v>99</v>
      </c>
      <c r="W60" s="26" t="s">
        <v>100</v>
      </c>
      <c r="X60" s="28" t="s">
        <v>101</v>
      </c>
      <c r="Y60" s="26" t="s">
        <v>100</v>
      </c>
      <c r="Z60" s="64"/>
      <c r="AA60" s="27" t="s">
        <v>99</v>
      </c>
      <c r="AB60" s="26" t="s">
        <v>100</v>
      </c>
      <c r="AC60" s="28" t="s">
        <v>101</v>
      </c>
      <c r="AD60" s="26" t="s">
        <v>100</v>
      </c>
      <c r="AE60" s="64"/>
      <c r="AF60" s="27" t="s">
        <v>99</v>
      </c>
      <c r="AG60" s="26" t="s">
        <v>100</v>
      </c>
      <c r="AH60" s="28" t="s">
        <v>101</v>
      </c>
      <c r="AI60" s="26" t="s">
        <v>100</v>
      </c>
      <c r="AJ60" s="64"/>
      <c r="AK60" s="27" t="s">
        <v>99</v>
      </c>
      <c r="AL60" s="26" t="s">
        <v>100</v>
      </c>
      <c r="AM60" s="28" t="s">
        <v>101</v>
      </c>
      <c r="AN60" s="26" t="s">
        <v>100</v>
      </c>
      <c r="AO60" s="64"/>
      <c r="AP60" s="89" t="s">
        <v>99</v>
      </c>
      <c r="AQ60" s="44" t="s">
        <v>100</v>
      </c>
      <c r="AR60" s="88" t="s">
        <v>101</v>
      </c>
      <c r="AS60" s="44" t="s">
        <v>100</v>
      </c>
      <c r="AT60" s="64"/>
      <c r="AU60" s="89" t="s">
        <v>99</v>
      </c>
      <c r="AV60" s="44" t="s">
        <v>100</v>
      </c>
      <c r="AW60" s="88" t="s">
        <v>101</v>
      </c>
      <c r="AX60" s="44" t="s">
        <v>100</v>
      </c>
      <c r="AY60" s="64"/>
      <c r="AZ60" s="89" t="s">
        <v>99</v>
      </c>
      <c r="BA60" s="44" t="s">
        <v>100</v>
      </c>
      <c r="BB60" s="88" t="s">
        <v>101</v>
      </c>
      <c r="BC60" s="44" t="s">
        <v>100</v>
      </c>
      <c r="BD60" s="64"/>
      <c r="BE60" s="89" t="s">
        <v>99</v>
      </c>
      <c r="BF60" s="44" t="s">
        <v>100</v>
      </c>
      <c r="BG60" s="88" t="s">
        <v>101</v>
      </c>
      <c r="BH60" s="44" t="s">
        <v>100</v>
      </c>
      <c r="BI60" s="64"/>
      <c r="BJ60" s="89" t="s">
        <v>99</v>
      </c>
      <c r="BK60" s="44" t="s">
        <v>100</v>
      </c>
      <c r="BL60" s="88" t="s">
        <v>101</v>
      </c>
      <c r="BM60" s="44" t="s">
        <v>100</v>
      </c>
      <c r="BN60" s="64"/>
      <c r="BO60" s="89" t="s">
        <v>99</v>
      </c>
      <c r="BP60" s="44" t="s">
        <v>100</v>
      </c>
      <c r="BQ60" s="88" t="s">
        <v>101</v>
      </c>
      <c r="BR60" s="44" t="s">
        <v>100</v>
      </c>
      <c r="BS60" s="64"/>
      <c r="BT60" s="89" t="s">
        <v>99</v>
      </c>
      <c r="BU60" s="44" t="s">
        <v>100</v>
      </c>
      <c r="BV60" s="88" t="s">
        <v>101</v>
      </c>
      <c r="BW60" s="44" t="s">
        <v>100</v>
      </c>
      <c r="BX60" s="64"/>
      <c r="BY60" s="89" t="s">
        <v>99</v>
      </c>
      <c r="BZ60" s="44" t="s">
        <v>100</v>
      </c>
      <c r="CA60" s="88" t="s">
        <v>101</v>
      </c>
      <c r="CB60" s="44" t="s">
        <v>100</v>
      </c>
      <c r="CC60" s="64"/>
    </row>
    <row r="61" spans="1:81" ht="12.75">
      <c r="A61" s="12"/>
      <c r="B61" s="8"/>
      <c r="C61" s="8"/>
      <c r="D61" s="9"/>
      <c r="E61" s="8"/>
      <c r="F61" s="10"/>
      <c r="G61" s="8"/>
      <c r="H61" s="8"/>
      <c r="I61" s="8"/>
      <c r="J61" s="9"/>
      <c r="K61" s="8"/>
      <c r="L61" s="10"/>
      <c r="N61" s="54"/>
      <c r="O61" s="55"/>
      <c r="P61" s="8"/>
      <c r="Q61" s="9"/>
      <c r="R61" s="8"/>
      <c r="S61" s="10"/>
      <c r="T61" s="34"/>
      <c r="U61" s="54"/>
      <c r="V61" s="9"/>
      <c r="W61" s="8"/>
      <c r="X61" s="10"/>
      <c r="Y61" s="34"/>
      <c r="Z61" s="54"/>
      <c r="AA61" s="9"/>
      <c r="AB61" s="8"/>
      <c r="AC61" s="10"/>
      <c r="AD61" s="34"/>
      <c r="AE61" s="54"/>
      <c r="AF61" s="9"/>
      <c r="AG61" s="8"/>
      <c r="AH61" s="10"/>
      <c r="AI61" s="34"/>
      <c r="AJ61" s="54"/>
      <c r="AK61" s="9"/>
      <c r="AL61" s="8"/>
      <c r="AM61" s="10"/>
      <c r="AN61" s="34"/>
      <c r="AO61" s="54"/>
      <c r="AP61" s="9"/>
      <c r="AQ61" s="8"/>
      <c r="AR61" s="10"/>
      <c r="AS61" s="34"/>
      <c r="AT61" s="54"/>
      <c r="AU61" s="9"/>
      <c r="AV61" s="8"/>
      <c r="AW61" s="10"/>
      <c r="AX61" s="34"/>
      <c r="AY61" s="54"/>
      <c r="AZ61" s="9"/>
      <c r="BA61" s="8"/>
      <c r="BB61" s="10"/>
      <c r="BC61" s="34"/>
      <c r="BD61" s="54"/>
      <c r="BE61" s="9"/>
      <c r="BF61" s="8"/>
      <c r="BG61" s="10"/>
      <c r="BH61" s="34"/>
      <c r="BI61" s="54"/>
      <c r="BJ61" s="9"/>
      <c r="BK61" s="8"/>
      <c r="BL61" s="10"/>
      <c r="BM61" s="34"/>
      <c r="BN61" s="54"/>
      <c r="BO61" s="9"/>
      <c r="BP61" s="8"/>
      <c r="BQ61" s="10"/>
      <c r="BR61" s="34"/>
      <c r="BS61" s="54"/>
      <c r="BT61" s="9"/>
      <c r="BU61" s="8"/>
      <c r="BV61" s="10"/>
      <c r="BW61" s="34"/>
      <c r="BX61" s="54"/>
      <c r="BY61" s="9"/>
      <c r="BZ61" s="8"/>
      <c r="CA61" s="10"/>
      <c r="CB61" s="34"/>
      <c r="CC61" s="54"/>
    </row>
    <row r="62" spans="1:81" ht="12.75">
      <c r="A62" s="8" t="s">
        <v>25</v>
      </c>
      <c r="B62" s="8"/>
      <c r="C62" s="8"/>
      <c r="D62" s="9">
        <v>2939874.51</v>
      </c>
      <c r="E62" s="14">
        <f>+D62/$D$70</f>
        <v>0.11425999468441364</v>
      </c>
      <c r="F62" s="10">
        <v>95</v>
      </c>
      <c r="G62" s="14">
        <f>+F62/F70</f>
        <v>0.051130247578040904</v>
      </c>
      <c r="H62" s="8"/>
      <c r="I62" s="8"/>
      <c r="J62" s="9">
        <v>2887161.95</v>
      </c>
      <c r="K62" s="14">
        <f>+J62/J70</f>
        <v>0.11805501102765967</v>
      </c>
      <c r="L62" s="10">
        <v>96</v>
      </c>
      <c r="M62" s="14">
        <f>+L62/L70</f>
        <v>0.05366126327557295</v>
      </c>
      <c r="N62" s="56"/>
      <c r="O62" s="55"/>
      <c r="P62" s="14">
        <v>0.05366126327557295</v>
      </c>
      <c r="Q62" s="9">
        <v>9286631.540000003</v>
      </c>
      <c r="R62" s="14">
        <v>0.15740350560745744</v>
      </c>
      <c r="S62" s="10">
        <v>307</v>
      </c>
      <c r="T62" s="14">
        <v>0.0731823599523242</v>
      </c>
      <c r="U62" s="56"/>
      <c r="V62" s="9">
        <v>12403263.750000007</v>
      </c>
      <c r="W62" s="14">
        <v>0.19614472704671737</v>
      </c>
      <c r="X62" s="10">
        <v>424</v>
      </c>
      <c r="Y62" s="14">
        <v>0.09623241034952337</v>
      </c>
      <c r="Z62" s="56"/>
      <c r="AA62" s="9">
        <v>15860998.210000006</v>
      </c>
      <c r="AB62" s="14">
        <v>0.24548991012396218</v>
      </c>
      <c r="AC62" s="10">
        <v>593</v>
      </c>
      <c r="AD62" s="14">
        <v>0.13257321708025932</v>
      </c>
      <c r="AE62" s="56"/>
      <c r="AF62" s="9">
        <v>14407842.190000001</v>
      </c>
      <c r="AG62" s="14">
        <v>0.25769563437075566</v>
      </c>
      <c r="AH62" s="10">
        <v>595</v>
      </c>
      <c r="AI62" s="14">
        <v>0.14834205933682373</v>
      </c>
      <c r="AJ62" s="56"/>
      <c r="AK62" s="9">
        <v>12124973.670000002</v>
      </c>
      <c r="AL62" s="14">
        <v>0.2635850522810065</v>
      </c>
      <c r="AM62" s="10">
        <v>580</v>
      </c>
      <c r="AN62" s="14">
        <v>0.1663798049340218</v>
      </c>
      <c r="AO62" s="56"/>
      <c r="AP62" s="9">
        <v>38020604.44999997</v>
      </c>
      <c r="AQ62" s="14">
        <v>0.5216304966726033</v>
      </c>
      <c r="AR62" s="10">
        <v>1492</v>
      </c>
      <c r="AS62" s="14">
        <v>0.33111407012871724</v>
      </c>
      <c r="AT62" s="56"/>
      <c r="AU62" s="9">
        <v>36774900.17999996</v>
      </c>
      <c r="AV62" s="14">
        <v>0.5554468589714541</v>
      </c>
      <c r="AW62" s="10">
        <v>1230</v>
      </c>
      <c r="AX62" s="14">
        <v>0.3185703185703186</v>
      </c>
      <c r="AY62" s="56"/>
      <c r="AZ62" s="9">
        <v>40081815.66000007</v>
      </c>
      <c r="BA62" s="14">
        <v>0.6155707984267034</v>
      </c>
      <c r="BB62" s="10">
        <v>1363</v>
      </c>
      <c r="BC62" s="14">
        <v>0.3689767190037899</v>
      </c>
      <c r="BD62" s="56"/>
      <c r="BE62" s="9">
        <v>66354688.9000001</v>
      </c>
      <c r="BF62" s="14">
        <v>0.7370619878841628</v>
      </c>
      <c r="BG62" s="10">
        <v>2356</v>
      </c>
      <c r="BH62" s="14">
        <v>0.5100671140939598</v>
      </c>
      <c r="BI62" s="56"/>
      <c r="BJ62" s="9">
        <v>74642447.85000016</v>
      </c>
      <c r="BK62" s="14">
        <v>0.783302586495135</v>
      </c>
      <c r="BL62" s="10">
        <v>2663</v>
      </c>
      <c r="BM62" s="14">
        <v>0.5640754077525948</v>
      </c>
      <c r="BN62" s="56"/>
      <c r="BO62" s="9">
        <v>80298575.10999997</v>
      </c>
      <c r="BP62" s="14">
        <v>0.8119889795907312</v>
      </c>
      <c r="BQ62" s="10">
        <v>2877</v>
      </c>
      <c r="BR62" s="14">
        <v>0.6049201009251471</v>
      </c>
      <c r="BS62" s="56"/>
      <c r="BT62" s="9">
        <v>45922678.10999995</v>
      </c>
      <c r="BU62" s="14">
        <v>0.446154563915905</v>
      </c>
      <c r="BV62" s="10">
        <v>1516</v>
      </c>
      <c r="BW62" s="14">
        <v>0.3170884752143903</v>
      </c>
      <c r="BX62" s="56"/>
      <c r="BY62" s="9">
        <v>50583483.39000009</v>
      </c>
      <c r="BZ62" s="14">
        <v>0.46847067307127427</v>
      </c>
      <c r="CA62" s="10">
        <v>1666</v>
      </c>
      <c r="CB62" s="14">
        <v>0.3447134285123112</v>
      </c>
      <c r="CC62" s="56"/>
    </row>
    <row r="63" spans="1:81" ht="12.75">
      <c r="A63" s="8" t="s">
        <v>66</v>
      </c>
      <c r="B63" s="8"/>
      <c r="C63" s="8"/>
      <c r="D63" s="9">
        <v>6484092.040000009</v>
      </c>
      <c r="E63" s="14">
        <f aca="true" t="shared" si="8" ref="E63:E68">+D63/$D$70</f>
        <v>0.2520081450767944</v>
      </c>
      <c r="F63" s="10">
        <v>345</v>
      </c>
      <c r="G63" s="14">
        <f aca="true" t="shared" si="9" ref="G63:G68">+F63/$F$70</f>
        <v>0.18568353067814855</v>
      </c>
      <c r="H63" s="8"/>
      <c r="I63" s="8"/>
      <c r="J63" s="9">
        <v>6125293.929999997</v>
      </c>
      <c r="K63" s="14">
        <f aca="true" t="shared" si="10" ref="K63:K68">+J63/$J$70</f>
        <v>0.25046106002256174</v>
      </c>
      <c r="L63" s="10">
        <v>329</v>
      </c>
      <c r="M63" s="14">
        <f aca="true" t="shared" si="11" ref="M63:M68">+L63/$L$70</f>
        <v>0.18390162101732813</v>
      </c>
      <c r="N63" s="56"/>
      <c r="O63" s="55"/>
      <c r="P63" s="14">
        <v>0.18390162101732813</v>
      </c>
      <c r="Q63" s="9">
        <v>14736320.07000001</v>
      </c>
      <c r="R63" s="14">
        <v>0.2497728513057312</v>
      </c>
      <c r="S63" s="10">
        <v>771</v>
      </c>
      <c r="T63" s="14">
        <v>0.1837902264600715</v>
      </c>
      <c r="U63" s="56"/>
      <c r="V63" s="9">
        <v>15305870.190000024</v>
      </c>
      <c r="W63" s="14">
        <v>0.24204643157975583</v>
      </c>
      <c r="X63" s="10">
        <v>802</v>
      </c>
      <c r="Y63" s="14">
        <v>0.1820245120290513</v>
      </c>
      <c r="Z63" s="56"/>
      <c r="AA63" s="9">
        <v>14995342.950000009</v>
      </c>
      <c r="AB63" s="14">
        <v>0.2320916593227136</v>
      </c>
      <c r="AC63" s="10">
        <v>800</v>
      </c>
      <c r="AD63" s="14">
        <v>0.1788508830762352</v>
      </c>
      <c r="AE63" s="56"/>
      <c r="AF63" s="9">
        <v>12691823.060000002</v>
      </c>
      <c r="AG63" s="14">
        <v>0.22700327721788335</v>
      </c>
      <c r="AH63" s="10">
        <v>682</v>
      </c>
      <c r="AI63" s="14">
        <v>0.1700324108701072</v>
      </c>
      <c r="AJ63" s="56"/>
      <c r="AK63" s="9">
        <v>10543632.589999996</v>
      </c>
      <c r="AL63" s="14">
        <v>0.22920824598103</v>
      </c>
      <c r="AM63" s="10">
        <v>577</v>
      </c>
      <c r="AN63" s="14">
        <v>0.16551921973608721</v>
      </c>
      <c r="AO63" s="56"/>
      <c r="AP63" s="9">
        <v>12554867.500000007</v>
      </c>
      <c r="AQ63" s="14">
        <v>0.1722487547060482</v>
      </c>
      <c r="AR63" s="10">
        <v>744</v>
      </c>
      <c r="AS63" s="14">
        <v>0.16511318242343542</v>
      </c>
      <c r="AT63" s="56"/>
      <c r="AU63" s="9">
        <v>10909744.739999995</v>
      </c>
      <c r="AV63" s="14">
        <v>0.16478041866471071</v>
      </c>
      <c r="AW63" s="10">
        <v>666</v>
      </c>
      <c r="AX63" s="14">
        <v>0.17249417249417248</v>
      </c>
      <c r="AY63" s="56"/>
      <c r="AZ63" s="9">
        <v>9634861.96000001</v>
      </c>
      <c r="BA63" s="14">
        <v>0.14797083345121767</v>
      </c>
      <c r="BB63" s="10">
        <v>612</v>
      </c>
      <c r="BC63" s="14">
        <v>0.165674066053059</v>
      </c>
      <c r="BD63" s="56"/>
      <c r="BE63" s="9">
        <v>9763752.510000005</v>
      </c>
      <c r="BF63" s="14">
        <v>0.10845489525352256</v>
      </c>
      <c r="BG63" s="10">
        <v>687</v>
      </c>
      <c r="BH63" s="14">
        <v>0.1487334920978567</v>
      </c>
      <c r="BI63" s="56"/>
      <c r="BJ63" s="9">
        <v>8924061.570000006</v>
      </c>
      <c r="BK63" s="14">
        <v>0.09364966866936458</v>
      </c>
      <c r="BL63" s="10">
        <v>659</v>
      </c>
      <c r="BM63" s="14">
        <v>0.13958907011226435</v>
      </c>
      <c r="BN63" s="56"/>
      <c r="BO63" s="9">
        <v>7341083.400000002</v>
      </c>
      <c r="BP63" s="14">
        <v>0.07423393018980383</v>
      </c>
      <c r="BQ63" s="10">
        <v>554</v>
      </c>
      <c r="BR63" s="14">
        <v>0.11648444070647603</v>
      </c>
      <c r="BS63" s="56"/>
      <c r="BT63" s="9">
        <v>41400114.349999905</v>
      </c>
      <c r="BU63" s="14">
        <v>0.4022163062800701</v>
      </c>
      <c r="BV63" s="10">
        <v>1612</v>
      </c>
      <c r="BW63" s="14">
        <v>0.33716795649445724</v>
      </c>
      <c r="BX63" s="56"/>
      <c r="BY63" s="9">
        <v>43597974.97000008</v>
      </c>
      <c r="BZ63" s="14">
        <v>0.40377552730538574</v>
      </c>
      <c r="CA63" s="10">
        <v>1650</v>
      </c>
      <c r="CB63" s="14">
        <v>0.3414028553693358</v>
      </c>
      <c r="CC63" s="56"/>
    </row>
    <row r="64" spans="1:81" ht="12.75">
      <c r="A64" s="8" t="s">
        <v>67</v>
      </c>
      <c r="B64" s="8"/>
      <c r="C64" s="8"/>
      <c r="D64" s="9">
        <v>122615.9</v>
      </c>
      <c r="E64" s="14">
        <f t="shared" si="8"/>
        <v>0.004765540853723241</v>
      </c>
      <c r="F64" s="10">
        <v>8</v>
      </c>
      <c r="G64" s="14">
        <f t="shared" si="9"/>
        <v>0.004305705059203444</v>
      </c>
      <c r="H64" s="8"/>
      <c r="I64" s="8"/>
      <c r="J64" s="9">
        <v>119741.57</v>
      </c>
      <c r="K64" s="14">
        <f t="shared" si="10"/>
        <v>0.004896189618604278</v>
      </c>
      <c r="L64" s="10">
        <v>8</v>
      </c>
      <c r="M64" s="14">
        <f t="shared" si="11"/>
        <v>0.004471771939631079</v>
      </c>
      <c r="N64" s="56"/>
      <c r="O64" s="55"/>
      <c r="P64" s="14">
        <v>0.004471771939631079</v>
      </c>
      <c r="Q64" s="9">
        <v>128769.23</v>
      </c>
      <c r="R64" s="14">
        <v>0.002182570518607328</v>
      </c>
      <c r="S64" s="10">
        <v>10</v>
      </c>
      <c r="T64" s="14">
        <v>0.0023837902264600714</v>
      </c>
      <c r="U64" s="56"/>
      <c r="V64" s="9">
        <v>11770748.860000022</v>
      </c>
      <c r="W64" s="14">
        <v>0.18614216135492262</v>
      </c>
      <c r="X64" s="10">
        <v>1083</v>
      </c>
      <c r="Y64" s="14">
        <v>0.24580118020880617</v>
      </c>
      <c r="Z64" s="56"/>
      <c r="AA64" s="9">
        <v>11582023.83999999</v>
      </c>
      <c r="AB64" s="14">
        <v>0.17926173081228686</v>
      </c>
      <c r="AC64" s="10">
        <v>1114</v>
      </c>
      <c r="AD64" s="14">
        <v>0.2490498546836575</v>
      </c>
      <c r="AE64" s="56"/>
      <c r="AF64" s="9">
        <v>10018343.60999999</v>
      </c>
      <c r="AG64" s="14">
        <v>0.1791859862065267</v>
      </c>
      <c r="AH64" s="10">
        <v>998</v>
      </c>
      <c r="AI64" s="14">
        <v>0.2488157566691598</v>
      </c>
      <c r="AJ64" s="56"/>
      <c r="AK64" s="9">
        <v>8051665.4900000105</v>
      </c>
      <c r="AL64" s="14">
        <v>0.1750353218813075</v>
      </c>
      <c r="AM64" s="10">
        <v>850</v>
      </c>
      <c r="AN64" s="14">
        <v>0.2438324727481354</v>
      </c>
      <c r="AO64" s="56"/>
      <c r="AP64" s="9">
        <v>8054829.21</v>
      </c>
      <c r="AQ64" s="14">
        <v>0.11050967290514226</v>
      </c>
      <c r="AR64" s="10">
        <v>897</v>
      </c>
      <c r="AS64" s="14">
        <v>0.19906790945406125</v>
      </c>
      <c r="AT64" s="56"/>
      <c r="AU64" s="9">
        <v>6658899.630000005</v>
      </c>
      <c r="AV64" s="14">
        <v>0.10057579668703492</v>
      </c>
      <c r="AW64" s="10">
        <v>774</v>
      </c>
      <c r="AX64" s="14">
        <v>0.20046620046620048</v>
      </c>
      <c r="AY64" s="56"/>
      <c r="AZ64" s="9">
        <v>5490684.249999992</v>
      </c>
      <c r="BA64" s="14">
        <v>0.08432514425873226</v>
      </c>
      <c r="BB64" s="10">
        <v>677</v>
      </c>
      <c r="BC64" s="14">
        <v>0.18327016783974012</v>
      </c>
      <c r="BD64" s="56"/>
      <c r="BE64" s="9">
        <v>4921788.32</v>
      </c>
      <c r="BF64" s="14">
        <v>0.05467078729811127</v>
      </c>
      <c r="BG64" s="10">
        <v>633</v>
      </c>
      <c r="BH64" s="14">
        <v>0.13704264992422602</v>
      </c>
      <c r="BI64" s="56"/>
      <c r="BJ64" s="9">
        <v>4188844.45</v>
      </c>
      <c r="BK64" s="14">
        <v>0.04395799959165977</v>
      </c>
      <c r="BL64" s="10">
        <v>570</v>
      </c>
      <c r="BM64" s="14">
        <v>0.12073713196356704</v>
      </c>
      <c r="BN64" s="56"/>
      <c r="BO64" s="9">
        <v>2276668.79</v>
      </c>
      <c r="BP64" s="14">
        <v>0.02302195232139239</v>
      </c>
      <c r="BQ64" s="10">
        <v>239</v>
      </c>
      <c r="BR64" s="14">
        <v>0.05025231286795626</v>
      </c>
      <c r="BS64" s="56"/>
      <c r="BT64" s="9">
        <v>6396975.180000003</v>
      </c>
      <c r="BU64" s="14">
        <v>0.06214880728378698</v>
      </c>
      <c r="BV64" s="10">
        <v>497</v>
      </c>
      <c r="BW64" s="14">
        <v>0.10395314787701318</v>
      </c>
      <c r="BX64" s="56"/>
      <c r="BY64" s="9">
        <v>5766244.23</v>
      </c>
      <c r="BZ64" s="14">
        <v>0.053403129529341155</v>
      </c>
      <c r="CA64" s="10">
        <v>453</v>
      </c>
      <c r="CB64" s="14">
        <v>0.09373060211049038</v>
      </c>
      <c r="CC64" s="56"/>
    </row>
    <row r="65" spans="1:81" ht="12.75">
      <c r="A65" s="8" t="s">
        <v>68</v>
      </c>
      <c r="B65" s="8"/>
      <c r="C65" s="8"/>
      <c r="D65" s="9">
        <f>15246776.96-23229.83</f>
        <v>15223547.13</v>
      </c>
      <c r="E65" s="14">
        <f t="shared" si="8"/>
        <v>0.5916723343921645</v>
      </c>
      <c r="F65" s="10">
        <v>1300</v>
      </c>
      <c r="G65" s="14">
        <f t="shared" si="9"/>
        <v>0.6996770721205597</v>
      </c>
      <c r="H65" s="8"/>
      <c r="I65" s="8"/>
      <c r="J65" s="9">
        <v>14413665.600000024</v>
      </c>
      <c r="K65" s="14">
        <f t="shared" si="10"/>
        <v>0.5893695888299586</v>
      </c>
      <c r="L65" s="10">
        <v>1250</v>
      </c>
      <c r="M65" s="14">
        <f t="shared" si="11"/>
        <v>0.6987143655673561</v>
      </c>
      <c r="N65" s="56"/>
      <c r="O65" s="55"/>
      <c r="P65" s="14">
        <v>0.6987143655673561</v>
      </c>
      <c r="Q65" s="9">
        <v>33050954.90999997</v>
      </c>
      <c r="R65" s="14">
        <v>0.5601962502873246</v>
      </c>
      <c r="S65" s="10">
        <v>2902</v>
      </c>
      <c r="T65" s="14">
        <v>0.6917759237187128</v>
      </c>
      <c r="U65" s="56"/>
      <c r="V65" s="9">
        <v>21965989.18999998</v>
      </c>
      <c r="W65" s="14">
        <v>0.34736929253670734</v>
      </c>
      <c r="X65" s="10">
        <v>1896</v>
      </c>
      <c r="Y65" s="14">
        <v>0.43032228778937814</v>
      </c>
      <c r="Z65" s="56"/>
      <c r="AA65" s="9">
        <v>20550216.170000035</v>
      </c>
      <c r="AB65" s="14">
        <v>0.31806766849142093</v>
      </c>
      <c r="AC65" s="10">
        <v>1778</v>
      </c>
      <c r="AD65" s="14">
        <v>0.3974960876369327</v>
      </c>
      <c r="AE65" s="56"/>
      <c r="AF65" s="9">
        <v>17390628.000000034</v>
      </c>
      <c r="AG65" s="14">
        <v>0.3110451138669665</v>
      </c>
      <c r="AH65" s="10">
        <v>1565</v>
      </c>
      <c r="AI65" s="14">
        <v>0.39017701321366244</v>
      </c>
      <c r="AJ65" s="56"/>
      <c r="AK65" s="9">
        <v>14174893.619999994</v>
      </c>
      <c r="AL65" s="14">
        <v>0.3081483042845571</v>
      </c>
      <c r="AM65" s="10">
        <v>1335</v>
      </c>
      <c r="AN65" s="14">
        <v>0.382960413080895</v>
      </c>
      <c r="AO65" s="56"/>
      <c r="AP65" s="9">
        <v>13225651.569999987</v>
      </c>
      <c r="AQ65" s="14">
        <v>0.18145169697000688</v>
      </c>
      <c r="AR65" s="10">
        <v>1240</v>
      </c>
      <c r="AS65" s="14">
        <v>0.27518863737239235</v>
      </c>
      <c r="AT65" s="56"/>
      <c r="AU65" s="9">
        <v>10970556.219999986</v>
      </c>
      <c r="AV65" s="14">
        <v>0.16569891321915062</v>
      </c>
      <c r="AW65" s="10">
        <v>1072</v>
      </c>
      <c r="AX65" s="14">
        <v>0.27764827764827765</v>
      </c>
      <c r="AY65" s="56"/>
      <c r="AZ65" s="9">
        <v>9073454.890000006</v>
      </c>
      <c r="BA65" s="14">
        <v>0.13934882387825367</v>
      </c>
      <c r="BB65" s="10">
        <v>933</v>
      </c>
      <c r="BC65" s="14">
        <v>0.252571737953438</v>
      </c>
      <c r="BD65" s="56"/>
      <c r="BE65" s="9">
        <v>8278699.440000014</v>
      </c>
      <c r="BF65" s="14">
        <v>0.09195905771689793</v>
      </c>
      <c r="BG65" s="10">
        <v>846</v>
      </c>
      <c r="BH65" s="14">
        <v>0.18315652738688026</v>
      </c>
      <c r="BI65" s="56"/>
      <c r="BJ65" s="9">
        <v>6915444.959999996</v>
      </c>
      <c r="BK65" s="14">
        <v>0.07257111844480768</v>
      </c>
      <c r="BL65" s="10">
        <v>743</v>
      </c>
      <c r="BM65" s="14">
        <v>0.15738191061215845</v>
      </c>
      <c r="BN65" s="56"/>
      <c r="BO65" s="9">
        <v>8426714.60000001</v>
      </c>
      <c r="BP65" s="14">
        <v>0.08521196521834928</v>
      </c>
      <c r="BQ65" s="10">
        <v>1002</v>
      </c>
      <c r="BR65" s="14">
        <v>0.2106812447434819</v>
      </c>
      <c r="BS65" s="56"/>
      <c r="BT65" s="9">
        <v>3904114.18</v>
      </c>
      <c r="BU65" s="14">
        <v>0.037929807910669404</v>
      </c>
      <c r="BV65" s="10">
        <v>580</v>
      </c>
      <c r="BW65" s="14">
        <v>0.12131353273373771</v>
      </c>
      <c r="BX65" s="56"/>
      <c r="BY65" s="9">
        <v>3306545.4</v>
      </c>
      <c r="BZ65" s="14">
        <v>0.030623030389895105</v>
      </c>
      <c r="CA65" s="10">
        <v>522</v>
      </c>
      <c r="CB65" s="14">
        <v>0.10800744878957169</v>
      </c>
      <c r="CC65" s="56"/>
    </row>
    <row r="66" spans="1:81" ht="12.75">
      <c r="A66" s="8" t="s">
        <v>69</v>
      </c>
      <c r="B66" s="8"/>
      <c r="C66" s="8"/>
      <c r="D66" s="9">
        <v>48228.84</v>
      </c>
      <c r="E66" s="14">
        <f t="shared" si="8"/>
        <v>0.001874442933972524</v>
      </c>
      <c r="F66" s="10">
        <v>4</v>
      </c>
      <c r="G66" s="14">
        <f t="shared" si="9"/>
        <v>0.002152852529601722</v>
      </c>
      <c r="H66" s="8"/>
      <c r="I66" s="8"/>
      <c r="J66" s="9">
        <v>46841.99</v>
      </c>
      <c r="K66" s="14">
        <f t="shared" si="10"/>
        <v>0.001915352079923166</v>
      </c>
      <c r="L66" s="10">
        <v>4</v>
      </c>
      <c r="M66" s="14">
        <f t="shared" si="11"/>
        <v>0.0022358859698155395</v>
      </c>
      <c r="N66" s="56"/>
      <c r="O66" s="55"/>
      <c r="P66" s="14">
        <v>0.0022358859698155395</v>
      </c>
      <c r="Q66" s="9">
        <v>71310.27</v>
      </c>
      <c r="R66" s="14">
        <v>0.001208671458048857</v>
      </c>
      <c r="S66" s="10">
        <v>7</v>
      </c>
      <c r="T66" s="14">
        <v>0.00166865315852205</v>
      </c>
      <c r="U66" s="56"/>
      <c r="V66" s="9">
        <v>307124.39</v>
      </c>
      <c r="W66" s="14">
        <v>0.004856853071913395</v>
      </c>
      <c r="X66" s="10">
        <v>40</v>
      </c>
      <c r="Y66" s="14">
        <v>0.009078529278256923</v>
      </c>
      <c r="Z66" s="56"/>
      <c r="AA66" s="9">
        <v>251507.59</v>
      </c>
      <c r="AB66" s="14">
        <v>0.0038927295020856254</v>
      </c>
      <c r="AC66" s="10">
        <v>37</v>
      </c>
      <c r="AD66" s="14">
        <v>0.008271853342275877</v>
      </c>
      <c r="AE66" s="56"/>
      <c r="AF66" s="9">
        <v>196440.78</v>
      </c>
      <c r="AG66" s="14">
        <v>0.0035134984649902003</v>
      </c>
      <c r="AH66" s="10">
        <v>32</v>
      </c>
      <c r="AI66" s="14">
        <v>0.007978060334081277</v>
      </c>
      <c r="AJ66" s="56"/>
      <c r="AK66" s="9">
        <v>154574.52</v>
      </c>
      <c r="AL66" s="14">
        <v>0.0033602986731691166</v>
      </c>
      <c r="AM66" s="10">
        <v>29</v>
      </c>
      <c r="AN66" s="14">
        <v>0.00831899024670109</v>
      </c>
      <c r="AO66" s="56"/>
      <c r="AP66" s="9">
        <v>118411.81</v>
      </c>
      <c r="AQ66" s="14">
        <v>0.0016245720486487948</v>
      </c>
      <c r="AR66" s="10">
        <v>23</v>
      </c>
      <c r="AS66" s="14">
        <v>0.0051043053706169555</v>
      </c>
      <c r="AT66" s="56"/>
      <c r="AU66" s="9">
        <v>105004.88</v>
      </c>
      <c r="AV66" s="14">
        <v>0.0015859901858929944</v>
      </c>
      <c r="AW66" s="10">
        <v>21</v>
      </c>
      <c r="AX66" s="14">
        <v>0.005439005439005439</v>
      </c>
      <c r="AY66" s="56"/>
      <c r="AZ66" s="9">
        <v>96001.9</v>
      </c>
      <c r="BA66" s="14">
        <v>0.0014743834644311228</v>
      </c>
      <c r="BB66" s="10">
        <v>21</v>
      </c>
      <c r="BC66" s="14">
        <v>0.00568489442338928</v>
      </c>
      <c r="BD66" s="56"/>
      <c r="BE66" s="9">
        <v>76985.08</v>
      </c>
      <c r="BF66" s="14">
        <v>0.0008551434275840784</v>
      </c>
      <c r="BG66" s="10">
        <v>19</v>
      </c>
      <c r="BH66" s="14">
        <v>0.004113444468499676</v>
      </c>
      <c r="BI66" s="56"/>
      <c r="BJ66" s="9">
        <v>52155.62</v>
      </c>
      <c r="BK66" s="14">
        <v>0.0005473243874364352</v>
      </c>
      <c r="BL66" s="10">
        <v>15</v>
      </c>
      <c r="BM66" s="14">
        <v>0.003177292946409659</v>
      </c>
      <c r="BN66" s="56"/>
      <c r="BO66" s="9">
        <v>50593.89</v>
      </c>
      <c r="BP66" s="14">
        <v>0.0005116115828748946</v>
      </c>
      <c r="BQ66" s="10">
        <v>7</v>
      </c>
      <c r="BR66" s="14">
        <v>0.001471825063078217</v>
      </c>
      <c r="BS66" s="56"/>
      <c r="BT66" s="9">
        <v>4876894.23</v>
      </c>
      <c r="BU66" s="14">
        <v>0.04738069964556007</v>
      </c>
      <c r="BV66" s="10">
        <v>507</v>
      </c>
      <c r="BW66" s="14">
        <v>0.10604476051035348</v>
      </c>
      <c r="BX66" s="56"/>
      <c r="BY66" s="9">
        <v>4305309.95</v>
      </c>
      <c r="BZ66" s="14">
        <v>0.039872925209727225</v>
      </c>
      <c r="CA66" s="10">
        <v>476</v>
      </c>
      <c r="CB66" s="14">
        <v>0.09848955100351749</v>
      </c>
      <c r="CC66" s="56"/>
    </row>
    <row r="67" spans="1:81" ht="12.75">
      <c r="A67" s="8" t="s">
        <v>70</v>
      </c>
      <c r="B67" s="8"/>
      <c r="C67" s="8"/>
      <c r="D67" s="9">
        <v>911333.92</v>
      </c>
      <c r="E67" s="14">
        <f t="shared" si="8"/>
        <v>0.03541954205893158</v>
      </c>
      <c r="F67" s="10">
        <v>106</v>
      </c>
      <c r="G67" s="14">
        <f t="shared" si="9"/>
        <v>0.05705059203444564</v>
      </c>
      <c r="H67" s="8"/>
      <c r="I67" s="8"/>
      <c r="J67" s="9">
        <v>863367.81</v>
      </c>
      <c r="K67" s="14">
        <f t="shared" si="10"/>
        <v>0.035302798421292705</v>
      </c>
      <c r="L67" s="10">
        <v>102</v>
      </c>
      <c r="M67" s="14">
        <f t="shared" si="11"/>
        <v>0.05701509223029626</v>
      </c>
      <c r="N67" s="56"/>
      <c r="O67" s="55"/>
      <c r="P67" s="14">
        <v>0.05701509223029626</v>
      </c>
      <c r="Q67" s="9">
        <v>1717834.15</v>
      </c>
      <c r="R67" s="14">
        <v>0.029116382629972078</v>
      </c>
      <c r="S67" s="10">
        <v>197</v>
      </c>
      <c r="T67" s="14">
        <v>0.04696066746126341</v>
      </c>
      <c r="U67" s="56"/>
      <c r="V67" s="9">
        <v>1482268.4</v>
      </c>
      <c r="W67" s="14">
        <v>0.023440534409983362</v>
      </c>
      <c r="X67" s="10">
        <v>161</v>
      </c>
      <c r="Y67" s="14">
        <v>0.036541080344984114</v>
      </c>
      <c r="Z67" s="56"/>
      <c r="AA67" s="9">
        <v>1369484</v>
      </c>
      <c r="AB67" s="14">
        <v>0.02119630174753068</v>
      </c>
      <c r="AC67" s="10">
        <v>151</v>
      </c>
      <c r="AD67" s="14">
        <v>0.03375810418063939</v>
      </c>
      <c r="AE67" s="56"/>
      <c r="AF67" s="9">
        <v>1205229.98</v>
      </c>
      <c r="AG67" s="14">
        <v>0.02155648987287757</v>
      </c>
      <c r="AH67" s="10">
        <v>139</v>
      </c>
      <c r="AI67" s="14">
        <v>0.03465469957616554</v>
      </c>
      <c r="AJ67" s="56"/>
      <c r="AK67" s="9">
        <v>950492.54</v>
      </c>
      <c r="AL67" s="14">
        <v>0.020662776898929685</v>
      </c>
      <c r="AM67" s="10">
        <v>115</v>
      </c>
      <c r="AN67" s="14">
        <v>0.03298909925415949</v>
      </c>
      <c r="AO67" s="56"/>
      <c r="AP67" s="9">
        <v>913637.01</v>
      </c>
      <c r="AQ67" s="14">
        <v>0.01253480669755035</v>
      </c>
      <c r="AR67" s="10">
        <v>110</v>
      </c>
      <c r="AS67" s="14">
        <v>0.024411895250776743</v>
      </c>
      <c r="AT67" s="56"/>
      <c r="AU67" s="9">
        <v>788668.48</v>
      </c>
      <c r="AV67" s="14">
        <v>0.011912022271756757</v>
      </c>
      <c r="AW67" s="10">
        <v>98</v>
      </c>
      <c r="AX67" s="14">
        <v>0.025382025382025383</v>
      </c>
      <c r="AY67" s="56"/>
      <c r="AZ67" s="9">
        <v>736431.94</v>
      </c>
      <c r="BA67" s="14">
        <v>0.011310016520661914</v>
      </c>
      <c r="BB67" s="10">
        <v>88</v>
      </c>
      <c r="BC67" s="14">
        <v>0.023822414726583648</v>
      </c>
      <c r="BD67" s="56"/>
      <c r="BE67" s="9">
        <v>630013</v>
      </c>
      <c r="BF67" s="14">
        <v>0.006998128419721434</v>
      </c>
      <c r="BG67" s="10">
        <v>78</v>
      </c>
      <c r="BH67" s="14">
        <v>0.016886772028577614</v>
      </c>
      <c r="BI67" s="56"/>
      <c r="BJ67" s="9">
        <v>569017.18</v>
      </c>
      <c r="BK67" s="14">
        <v>0.005971302411596445</v>
      </c>
      <c r="BL67" s="10">
        <v>71</v>
      </c>
      <c r="BM67" s="14">
        <v>0.015039186613005719</v>
      </c>
      <c r="BN67" s="56"/>
      <c r="BO67" s="9">
        <v>393025.11</v>
      </c>
      <c r="BP67" s="14">
        <v>0.00397431782052496</v>
      </c>
      <c r="BQ67" s="10">
        <v>67</v>
      </c>
      <c r="BR67" s="14">
        <v>0.014087468460891506</v>
      </c>
      <c r="BS67" s="56"/>
      <c r="BT67" s="9">
        <v>103322.37</v>
      </c>
      <c r="BU67" s="14">
        <v>0.0010038122519703335</v>
      </c>
      <c r="BV67" s="10">
        <v>31</v>
      </c>
      <c r="BW67" s="14">
        <v>0.006483999163354947</v>
      </c>
      <c r="BX67" s="56"/>
      <c r="BY67" s="9">
        <v>127707.95</v>
      </c>
      <c r="BZ67" s="14">
        <v>0.001182746329108683</v>
      </c>
      <c r="CA67" s="10">
        <v>32</v>
      </c>
      <c r="CB67" s="14">
        <v>0.006621146285950755</v>
      </c>
      <c r="CC67" s="56"/>
    </row>
    <row r="68" spans="1:81" ht="12.75">
      <c r="A68" s="8" t="s">
        <v>65</v>
      </c>
      <c r="B68" s="8"/>
      <c r="C68" s="8"/>
      <c r="D68" s="9">
        <v>0</v>
      </c>
      <c r="E68" s="14">
        <f t="shared" si="8"/>
        <v>0</v>
      </c>
      <c r="F68" s="10">
        <v>0</v>
      </c>
      <c r="G68" s="14">
        <f t="shared" si="9"/>
        <v>0</v>
      </c>
      <c r="H68" s="8"/>
      <c r="I68" s="8"/>
      <c r="J68" s="9">
        <v>0</v>
      </c>
      <c r="K68" s="14">
        <f t="shared" si="10"/>
        <v>0</v>
      </c>
      <c r="L68" s="10">
        <v>0</v>
      </c>
      <c r="M68" s="14">
        <f t="shared" si="11"/>
        <v>0</v>
      </c>
      <c r="N68" s="56"/>
      <c r="O68" s="55"/>
      <c r="P68" s="14">
        <v>0</v>
      </c>
      <c r="Q68" s="9">
        <v>7066.19</v>
      </c>
      <c r="R68" s="14">
        <v>0.0001197681928584796</v>
      </c>
      <c r="S68" s="10">
        <v>1</v>
      </c>
      <c r="T68" s="14">
        <v>0.00023837902264600716</v>
      </c>
      <c r="U68" s="56"/>
      <c r="V68" s="9">
        <v>0</v>
      </c>
      <c r="W68" s="14">
        <v>0</v>
      </c>
      <c r="X68" s="10">
        <v>0</v>
      </c>
      <c r="Y68" s="14">
        <v>0</v>
      </c>
      <c r="Z68" s="56"/>
      <c r="AA68" s="9">
        <v>0</v>
      </c>
      <c r="AB68" s="14">
        <v>0</v>
      </c>
      <c r="AC68" s="10">
        <v>0</v>
      </c>
      <c r="AD68" s="14">
        <v>0</v>
      </c>
      <c r="AE68" s="56"/>
      <c r="AF68" s="9">
        <v>0</v>
      </c>
      <c r="AG68" s="14">
        <v>0</v>
      </c>
      <c r="AH68" s="10">
        <v>0</v>
      </c>
      <c r="AI68" s="14">
        <v>0</v>
      </c>
      <c r="AJ68" s="56"/>
      <c r="AK68" s="9">
        <v>0</v>
      </c>
      <c r="AL68" s="14">
        <v>0</v>
      </c>
      <c r="AM68" s="10">
        <v>0</v>
      </c>
      <c r="AN68" s="14">
        <v>0</v>
      </c>
      <c r="AO68" s="56"/>
      <c r="AP68" s="9">
        <v>0</v>
      </c>
      <c r="AQ68" s="14">
        <v>0</v>
      </c>
      <c r="AR68" s="10">
        <v>0</v>
      </c>
      <c r="AS68" s="14">
        <v>0</v>
      </c>
      <c r="AT68" s="56"/>
      <c r="AU68" s="9">
        <v>0</v>
      </c>
      <c r="AV68" s="14">
        <v>0</v>
      </c>
      <c r="AW68" s="10">
        <v>0</v>
      </c>
      <c r="AX68" s="14">
        <v>0</v>
      </c>
      <c r="AY68" s="56"/>
      <c r="AZ68" s="9">
        <v>0</v>
      </c>
      <c r="BA68" s="14">
        <v>0</v>
      </c>
      <c r="BB68" s="10">
        <v>0</v>
      </c>
      <c r="BC68" s="14">
        <v>0</v>
      </c>
      <c r="BD68" s="56"/>
      <c r="BE68" s="9">
        <v>0</v>
      </c>
      <c r="BF68" s="14">
        <v>0</v>
      </c>
      <c r="BG68" s="10">
        <v>0</v>
      </c>
      <c r="BH68" s="14">
        <v>0</v>
      </c>
      <c r="BI68" s="56"/>
      <c r="BJ68" s="9">
        <v>0</v>
      </c>
      <c r="BK68" s="14">
        <v>0</v>
      </c>
      <c r="BL68" s="10">
        <v>0</v>
      </c>
      <c r="BM68" s="14">
        <v>0</v>
      </c>
      <c r="BN68" s="56"/>
      <c r="BO68" s="9">
        <v>104552.07</v>
      </c>
      <c r="BP68" s="14">
        <v>0.0010572432763234216</v>
      </c>
      <c r="BQ68" s="10">
        <v>10</v>
      </c>
      <c r="BR68" s="14">
        <v>0.0021026072329688814</v>
      </c>
      <c r="BS68" s="56"/>
      <c r="BT68" s="9">
        <v>325876.58</v>
      </c>
      <c r="BU68" s="14">
        <v>0.0031660027120379687</v>
      </c>
      <c r="BV68" s="10">
        <v>38</v>
      </c>
      <c r="BW68" s="14">
        <v>0.00794812800669316</v>
      </c>
      <c r="BX68" s="56"/>
      <c r="BY68" s="9">
        <v>288507.83</v>
      </c>
      <c r="BZ68" s="14">
        <v>0.002671968165267799</v>
      </c>
      <c r="CA68" s="10">
        <v>34</v>
      </c>
      <c r="CB68" s="14">
        <v>0.007034967928822677</v>
      </c>
      <c r="CC68" s="56"/>
    </row>
    <row r="69" spans="1:81" ht="12.75">
      <c r="A69" s="8"/>
      <c r="B69" s="8"/>
      <c r="C69" s="8"/>
      <c r="D69" s="9"/>
      <c r="E69" s="8"/>
      <c r="F69" s="10"/>
      <c r="G69" s="8"/>
      <c r="H69" s="8"/>
      <c r="I69" s="8"/>
      <c r="J69" s="9"/>
      <c r="K69" s="8"/>
      <c r="L69" s="10"/>
      <c r="N69" s="54"/>
      <c r="O69" s="55"/>
      <c r="P69" s="8"/>
      <c r="Q69" s="9"/>
      <c r="R69" s="8"/>
      <c r="S69" s="10"/>
      <c r="T69" s="34"/>
      <c r="U69" s="54"/>
      <c r="V69" s="9"/>
      <c r="W69" s="8"/>
      <c r="X69" s="10"/>
      <c r="Y69" s="34"/>
      <c r="Z69" s="54"/>
      <c r="AA69" s="9"/>
      <c r="AB69" s="8"/>
      <c r="AC69" s="10"/>
      <c r="AD69" s="34"/>
      <c r="AE69" s="54"/>
      <c r="AF69" s="9"/>
      <c r="AG69" s="8"/>
      <c r="AH69" s="10"/>
      <c r="AI69" s="34"/>
      <c r="AJ69" s="54"/>
      <c r="AK69" s="9"/>
      <c r="AL69" s="8"/>
      <c r="AM69" s="10"/>
      <c r="AN69" s="34"/>
      <c r="AO69" s="54"/>
      <c r="AP69" s="9"/>
      <c r="AQ69" s="8"/>
      <c r="AR69" s="10"/>
      <c r="AS69" s="34"/>
      <c r="AT69" s="54"/>
      <c r="AU69" s="9"/>
      <c r="AV69" s="8"/>
      <c r="AW69" s="10"/>
      <c r="AX69" s="34"/>
      <c r="AY69" s="54"/>
      <c r="AZ69" s="9"/>
      <c r="BA69" s="8"/>
      <c r="BB69" s="10"/>
      <c r="BC69" s="34"/>
      <c r="BD69" s="54"/>
      <c r="BE69" s="9"/>
      <c r="BF69" s="8"/>
      <c r="BG69" s="10"/>
      <c r="BH69" s="34"/>
      <c r="BI69" s="54"/>
      <c r="BJ69" s="9"/>
      <c r="BK69" s="8"/>
      <c r="BL69" s="10"/>
      <c r="BM69" s="34"/>
      <c r="BN69" s="54"/>
      <c r="BO69" s="9"/>
      <c r="BP69" s="8"/>
      <c r="BQ69" s="10"/>
      <c r="BR69" s="34"/>
      <c r="BS69" s="54"/>
      <c r="BT69" s="9"/>
      <c r="BU69" s="8"/>
      <c r="BV69" s="10"/>
      <c r="BW69" s="34"/>
      <c r="BX69" s="54"/>
      <c r="BY69" s="9"/>
      <c r="BZ69" s="8"/>
      <c r="CA69" s="10"/>
      <c r="CB69" s="34"/>
      <c r="CC69" s="54"/>
    </row>
    <row r="70" spans="1:81" ht="13.5" thickBot="1">
      <c r="A70" s="8"/>
      <c r="B70" s="12"/>
      <c r="C70" s="12"/>
      <c r="D70" s="21">
        <f>SUM(D62:D69)</f>
        <v>25729692.34000001</v>
      </c>
      <c r="E70" s="12"/>
      <c r="F70" s="22">
        <f>SUM(F62:F68)</f>
        <v>1858</v>
      </c>
      <c r="G70" s="12"/>
      <c r="H70" s="12"/>
      <c r="I70" s="12"/>
      <c r="J70" s="21">
        <f>SUM(J62:J68)</f>
        <v>24456072.850000016</v>
      </c>
      <c r="K70" s="12"/>
      <c r="L70" s="22">
        <f>SUM(L62:L68)</f>
        <v>1789</v>
      </c>
      <c r="M70" s="30"/>
      <c r="N70" s="53"/>
      <c r="O70" s="31"/>
      <c r="P70" s="12"/>
      <c r="Q70" s="21">
        <f>SUM(Q62:Q68)</f>
        <v>58998886.359999985</v>
      </c>
      <c r="R70" s="12"/>
      <c r="S70" s="22">
        <f>SUM(S62:S68)</f>
        <v>4195</v>
      </c>
      <c r="T70" s="30"/>
      <c r="U70" s="53"/>
      <c r="V70" s="21">
        <f>SUM(V62:V68)</f>
        <v>63235264.78000004</v>
      </c>
      <c r="W70" s="12"/>
      <c r="X70" s="22">
        <f>SUM(X62:X68)</f>
        <v>4406</v>
      </c>
      <c r="Y70" s="30"/>
      <c r="Z70" s="53"/>
      <c r="AA70" s="21">
        <f>SUM(AA62:AA68)</f>
        <v>64609572.76000005</v>
      </c>
      <c r="AB70" s="12"/>
      <c r="AC70" s="22">
        <f>SUM(AC62:AC68)</f>
        <v>4473</v>
      </c>
      <c r="AD70" s="30"/>
      <c r="AE70" s="53"/>
      <c r="AF70" s="21">
        <f>SUM(AF62:AF68)</f>
        <v>55910307.62000003</v>
      </c>
      <c r="AG70" s="12"/>
      <c r="AH70" s="22">
        <f>SUM(AH62:AH68)</f>
        <v>4011</v>
      </c>
      <c r="AI70" s="30"/>
      <c r="AJ70" s="53"/>
      <c r="AK70" s="21">
        <f>SUM(AK62:AK68)</f>
        <v>46000232.43000001</v>
      </c>
      <c r="AL70" s="12"/>
      <c r="AM70" s="22">
        <f>SUM(AM62:AM68)</f>
        <v>3486</v>
      </c>
      <c r="AN70" s="30"/>
      <c r="AO70" s="53"/>
      <c r="AP70" s="21">
        <f>SUM(AP62:AP68)</f>
        <v>72888001.54999998</v>
      </c>
      <c r="AQ70" s="12"/>
      <c r="AR70" s="22">
        <f>SUM(AR62:AR68)</f>
        <v>4506</v>
      </c>
      <c r="AS70" s="30"/>
      <c r="AT70" s="53"/>
      <c r="AU70" s="21">
        <f>SUM(AU62:AU68)</f>
        <v>66207774.12999994</v>
      </c>
      <c r="AV70" s="12"/>
      <c r="AW70" s="22">
        <f>SUM(AW62:AW68)</f>
        <v>3861</v>
      </c>
      <c r="AX70" s="30"/>
      <c r="AY70" s="53"/>
      <c r="AZ70" s="21">
        <f>SUM(AZ62:AZ68)</f>
        <v>65113250.600000076</v>
      </c>
      <c r="BA70" s="12"/>
      <c r="BB70" s="22">
        <f>SUM(BB62:BB68)</f>
        <v>3694</v>
      </c>
      <c r="BC70" s="30"/>
      <c r="BD70" s="53"/>
      <c r="BE70" s="21">
        <f>SUM(BE62:BE68)</f>
        <v>90025927.25000012</v>
      </c>
      <c r="BF70" s="12"/>
      <c r="BG70" s="22">
        <f>SUM(BG62:BG68)</f>
        <v>4619</v>
      </c>
      <c r="BH70" s="30"/>
      <c r="BI70" s="53"/>
      <c r="BJ70" s="21">
        <f>SUM(BJ62:BJ68)</f>
        <v>95291971.63000017</v>
      </c>
      <c r="BK70" s="12"/>
      <c r="BL70" s="22">
        <f>SUM(BL62:BL68)</f>
        <v>4721</v>
      </c>
      <c r="BM70" s="30"/>
      <c r="BN70" s="53"/>
      <c r="BO70" s="21">
        <f>SUM(BO62:BO68)</f>
        <v>98891212.96999998</v>
      </c>
      <c r="BP70" s="12"/>
      <c r="BQ70" s="22">
        <f>SUM(BQ62:BQ68)</f>
        <v>4756</v>
      </c>
      <c r="BR70" s="30"/>
      <c r="BS70" s="53"/>
      <c r="BT70" s="21">
        <f>SUM(BT62:BT68)</f>
        <v>102929974.99999988</v>
      </c>
      <c r="BU70" s="12"/>
      <c r="BV70" s="22">
        <f>SUM(BV62:BV68)</f>
        <v>4781</v>
      </c>
      <c r="BW70" s="30"/>
      <c r="BX70" s="53"/>
      <c r="BY70" s="21">
        <f>SUM(BY62:BY68)</f>
        <v>107975773.72000018</v>
      </c>
      <c r="BZ70" s="12"/>
      <c r="CA70" s="22">
        <f>SUM(CA62:CA68)</f>
        <v>4833</v>
      </c>
      <c r="CB70" s="30"/>
      <c r="CC70" s="53"/>
    </row>
    <row r="71" spans="1:81" ht="13.5" thickTop="1">
      <c r="A71" s="8"/>
      <c r="B71" s="8"/>
      <c r="C71" s="8"/>
      <c r="D71" s="9"/>
      <c r="E71" s="8"/>
      <c r="F71" s="10"/>
      <c r="G71" s="8"/>
      <c r="H71" s="8"/>
      <c r="I71" s="8"/>
      <c r="J71" s="8"/>
      <c r="K71" s="8"/>
      <c r="L71" s="8"/>
      <c r="M71" s="9"/>
      <c r="N71" s="8"/>
      <c r="O71" s="10"/>
      <c r="P71" s="8"/>
      <c r="Q71" s="8"/>
      <c r="R71" s="8"/>
      <c r="S71" s="8"/>
      <c r="T71" s="9"/>
      <c r="U71" s="8"/>
      <c r="V71" s="8"/>
      <c r="W71" s="8"/>
      <c r="X71" s="8"/>
      <c r="Y71" s="9"/>
      <c r="Z71" s="8"/>
      <c r="AA71" s="8"/>
      <c r="AB71" s="8"/>
      <c r="AC71" s="8"/>
      <c r="AD71" s="9"/>
      <c r="AE71" s="8"/>
      <c r="AF71" s="8"/>
      <c r="AG71" s="8"/>
      <c r="AH71" s="8"/>
      <c r="AI71" s="9"/>
      <c r="AJ71" s="8"/>
      <c r="AK71" s="8"/>
      <c r="AL71" s="8"/>
      <c r="AM71" s="8"/>
      <c r="AN71" s="9"/>
      <c r="AO71" s="8"/>
      <c r="AP71" s="8"/>
      <c r="AQ71" s="8"/>
      <c r="AR71" s="8"/>
      <c r="AS71" s="9"/>
      <c r="AT71" s="8"/>
      <c r="AU71" s="8"/>
      <c r="AV71" s="8"/>
      <c r="AW71" s="8"/>
      <c r="AX71" s="9"/>
      <c r="AY71" s="8"/>
      <c r="AZ71" s="8"/>
      <c r="BA71" s="8"/>
      <c r="BB71" s="8"/>
      <c r="BC71" s="9"/>
      <c r="BD71" s="8"/>
      <c r="BE71" s="8"/>
      <c r="BF71" s="8"/>
      <c r="BG71" s="8"/>
      <c r="BH71" s="9"/>
      <c r="BI71" s="8"/>
      <c r="BJ71" s="8"/>
      <c r="BK71" s="8"/>
      <c r="BL71" s="8"/>
      <c r="BM71" s="9"/>
      <c r="BN71" s="8"/>
      <c r="BO71" s="8"/>
      <c r="BP71" s="8"/>
      <c r="BQ71" s="8"/>
      <c r="BR71" s="9"/>
      <c r="BS71" s="8"/>
      <c r="BT71" s="8"/>
      <c r="BU71" s="8"/>
      <c r="BV71" s="8"/>
      <c r="BW71" s="9"/>
      <c r="BX71" s="8"/>
      <c r="BY71" s="8"/>
      <c r="BZ71" s="8"/>
      <c r="CA71" s="8"/>
      <c r="CB71" s="9"/>
      <c r="CC71" s="8"/>
    </row>
    <row r="72" spans="1:81" ht="12.75">
      <c r="A72" s="8"/>
      <c r="B72" s="8"/>
      <c r="C72" s="8"/>
      <c r="D72" s="9"/>
      <c r="E72" s="8"/>
      <c r="F72" s="10"/>
      <c r="G72" s="8"/>
      <c r="H72" s="8"/>
      <c r="I72" s="8"/>
      <c r="J72" s="8"/>
      <c r="K72" s="8"/>
      <c r="L72" s="8"/>
      <c r="M72" s="9"/>
      <c r="N72" s="8"/>
      <c r="O72" s="10"/>
      <c r="P72" s="8"/>
      <c r="Q72" s="8"/>
      <c r="R72" s="8"/>
      <c r="S72" s="8"/>
      <c r="T72" s="9"/>
      <c r="U72" s="8"/>
      <c r="V72" s="8"/>
      <c r="W72" s="8"/>
      <c r="X72" s="8"/>
      <c r="Y72" s="9"/>
      <c r="Z72" s="8"/>
      <c r="AA72" s="8"/>
      <c r="AB72" s="8"/>
      <c r="AC72" s="8"/>
      <c r="AD72" s="9"/>
      <c r="AE72" s="8"/>
      <c r="AF72" s="8"/>
      <c r="AG72" s="8"/>
      <c r="AH72" s="8"/>
      <c r="AI72" s="9"/>
      <c r="AJ72" s="8"/>
      <c r="AK72" s="8"/>
      <c r="AL72" s="8"/>
      <c r="AM72" s="8"/>
      <c r="AN72" s="9"/>
      <c r="AO72" s="8"/>
      <c r="AP72" s="8"/>
      <c r="AQ72" s="8"/>
      <c r="AR72" s="8"/>
      <c r="AS72" s="9"/>
      <c r="AT72" s="8"/>
      <c r="AU72" s="8"/>
      <c r="AV72" s="8"/>
      <c r="AW72" s="8"/>
      <c r="AX72" s="9"/>
      <c r="AY72" s="8"/>
      <c r="AZ72" s="8"/>
      <c r="BA72" s="8"/>
      <c r="BB72" s="8"/>
      <c r="BC72" s="9"/>
      <c r="BD72" s="8"/>
      <c r="BE72" s="8"/>
      <c r="BF72" s="8"/>
      <c r="BG72" s="8"/>
      <c r="BH72" s="9"/>
      <c r="BI72" s="8"/>
      <c r="BJ72" s="8"/>
      <c r="BK72" s="8"/>
      <c r="BL72" s="8"/>
      <c r="BM72" s="9"/>
      <c r="BN72" s="8"/>
      <c r="BO72" s="8"/>
      <c r="BP72" s="8"/>
      <c r="BQ72" s="8"/>
      <c r="BR72" s="9"/>
      <c r="BS72" s="8"/>
      <c r="BT72" s="8"/>
      <c r="BU72" s="8"/>
      <c r="BV72" s="8"/>
      <c r="BW72" s="9"/>
      <c r="BX72" s="8"/>
      <c r="BY72" s="8"/>
      <c r="BZ72" s="8"/>
      <c r="CA72" s="8"/>
      <c r="CB72" s="9"/>
      <c r="CC72" s="8"/>
    </row>
    <row r="73" spans="1:81" ht="12.75">
      <c r="A73" s="19" t="s">
        <v>110</v>
      </c>
      <c r="B73" s="8"/>
      <c r="C73" s="8"/>
      <c r="D73" s="9"/>
      <c r="E73" s="8"/>
      <c r="F73" s="10"/>
      <c r="G73" s="8"/>
      <c r="H73" s="8"/>
      <c r="I73" s="8"/>
      <c r="J73" s="19" t="s">
        <v>110</v>
      </c>
      <c r="K73" s="8"/>
      <c r="L73" s="8"/>
      <c r="M73" s="9"/>
      <c r="N73" s="8"/>
      <c r="O73" s="10"/>
      <c r="P73" s="8"/>
      <c r="Q73" s="19" t="s">
        <v>110</v>
      </c>
      <c r="R73" s="8"/>
      <c r="S73" s="8"/>
      <c r="T73" s="9"/>
      <c r="U73" s="8"/>
      <c r="V73" s="19" t="s">
        <v>110</v>
      </c>
      <c r="W73" s="8"/>
      <c r="X73" s="8"/>
      <c r="Y73" s="9"/>
      <c r="Z73" s="8"/>
      <c r="AA73" s="19" t="s">
        <v>110</v>
      </c>
      <c r="AB73" s="8"/>
      <c r="AC73" s="8"/>
      <c r="AD73" s="9"/>
      <c r="AE73" s="8"/>
      <c r="AF73" s="19" t="s">
        <v>110</v>
      </c>
      <c r="AG73" s="8"/>
      <c r="AH73" s="8"/>
      <c r="AI73" s="9"/>
      <c r="AJ73" s="8"/>
      <c r="AK73" s="19" t="s">
        <v>110</v>
      </c>
      <c r="AL73" s="8"/>
      <c r="AM73" s="8"/>
      <c r="AN73" s="9"/>
      <c r="AO73" s="8"/>
      <c r="AP73" s="19" t="s">
        <v>110</v>
      </c>
      <c r="AQ73" s="8"/>
      <c r="AR73" s="8"/>
      <c r="AS73" s="9"/>
      <c r="AT73" s="8"/>
      <c r="AU73" s="19" t="s">
        <v>110</v>
      </c>
      <c r="AV73" s="8"/>
      <c r="AW73" s="8"/>
      <c r="AX73" s="9"/>
      <c r="AY73" s="8"/>
      <c r="AZ73" s="19" t="s">
        <v>110</v>
      </c>
      <c r="BA73" s="8"/>
      <c r="BB73" s="8"/>
      <c r="BC73" s="9"/>
      <c r="BD73" s="8"/>
      <c r="BE73" s="19" t="s">
        <v>110</v>
      </c>
      <c r="BF73" s="8"/>
      <c r="BG73" s="8"/>
      <c r="BH73" s="9"/>
      <c r="BI73" s="8"/>
      <c r="BJ73" s="19" t="s">
        <v>110</v>
      </c>
      <c r="BK73" s="8"/>
      <c r="BL73" s="8"/>
      <c r="BM73" s="9"/>
      <c r="BN73" s="8"/>
      <c r="BO73" s="19" t="s">
        <v>110</v>
      </c>
      <c r="BP73" s="8"/>
      <c r="BQ73" s="8"/>
      <c r="BR73" s="9"/>
      <c r="BS73" s="8"/>
      <c r="BT73" s="19" t="s">
        <v>110</v>
      </c>
      <c r="BU73" s="8"/>
      <c r="BV73" s="8"/>
      <c r="BW73" s="9"/>
      <c r="BX73" s="8"/>
      <c r="BY73" s="19" t="s">
        <v>110</v>
      </c>
      <c r="BZ73" s="8"/>
      <c r="CA73" s="8"/>
      <c r="CB73" s="9"/>
      <c r="CC73" s="8"/>
    </row>
    <row r="74" spans="1:81" ht="12.75">
      <c r="A74" s="19"/>
      <c r="B74" s="8"/>
      <c r="C74" s="8"/>
      <c r="D74" s="9"/>
      <c r="E74" s="8"/>
      <c r="F74" s="10"/>
      <c r="G74" s="8"/>
      <c r="H74" s="8"/>
      <c r="I74" s="8"/>
      <c r="J74" s="19"/>
      <c r="K74" s="8"/>
      <c r="L74" s="8"/>
      <c r="M74" s="9"/>
      <c r="N74" s="8"/>
      <c r="O74" s="10"/>
      <c r="P74" s="8"/>
      <c r="Q74" s="19"/>
      <c r="R74" s="8"/>
      <c r="S74" s="8"/>
      <c r="T74" s="9"/>
      <c r="U74" s="8"/>
      <c r="V74" s="19"/>
      <c r="W74" s="8"/>
      <c r="X74" s="8"/>
      <c r="Y74" s="9"/>
      <c r="Z74" s="8"/>
      <c r="AA74" s="19"/>
      <c r="AB74" s="8"/>
      <c r="AC74" s="8"/>
      <c r="AD74" s="9"/>
      <c r="AE74" s="8"/>
      <c r="AF74" s="19"/>
      <c r="AG74" s="8"/>
      <c r="AH74" s="8"/>
      <c r="AI74" s="9"/>
      <c r="AJ74" s="8"/>
      <c r="AK74" s="19"/>
      <c r="AL74" s="8"/>
      <c r="AM74" s="8"/>
      <c r="AN74" s="9"/>
      <c r="AO74" s="8"/>
      <c r="AP74" s="19"/>
      <c r="AQ74" s="8"/>
      <c r="AR74" s="8"/>
      <c r="AS74" s="9"/>
      <c r="AT74" s="8"/>
      <c r="AU74" s="19"/>
      <c r="AV74" s="8"/>
      <c r="AW74" s="8"/>
      <c r="AX74" s="9"/>
      <c r="AY74" s="8"/>
      <c r="AZ74" s="19"/>
      <c r="BA74" s="8"/>
      <c r="BB74" s="8"/>
      <c r="BC74" s="9"/>
      <c r="BD74" s="8"/>
      <c r="BE74" s="19"/>
      <c r="BF74" s="8"/>
      <c r="BG74" s="8"/>
      <c r="BH74" s="9"/>
      <c r="BI74" s="8"/>
      <c r="BJ74" s="19"/>
      <c r="BK74" s="8"/>
      <c r="BL74" s="8"/>
      <c r="BM74" s="9"/>
      <c r="BN74" s="8"/>
      <c r="BO74" s="19"/>
      <c r="BP74" s="8"/>
      <c r="BQ74" s="8"/>
      <c r="BR74" s="9"/>
      <c r="BS74" s="8"/>
      <c r="BT74" s="19"/>
      <c r="BU74" s="8"/>
      <c r="BV74" s="8"/>
      <c r="BW74" s="9"/>
      <c r="BX74" s="8"/>
      <c r="BY74" s="19"/>
      <c r="BZ74" s="8"/>
      <c r="CA74" s="8"/>
      <c r="CB74" s="9"/>
      <c r="CC74" s="8"/>
    </row>
    <row r="75" spans="1:81" s="29" customFormat="1" ht="12.75">
      <c r="A75" s="25"/>
      <c r="B75" s="26"/>
      <c r="C75" s="26"/>
      <c r="D75" s="27" t="s">
        <v>99</v>
      </c>
      <c r="E75" s="26" t="s">
        <v>100</v>
      </c>
      <c r="F75" s="28" t="s">
        <v>101</v>
      </c>
      <c r="G75" s="26" t="s">
        <v>100</v>
      </c>
      <c r="H75" s="25"/>
      <c r="I75" s="25"/>
      <c r="J75" s="27" t="s">
        <v>99</v>
      </c>
      <c r="K75" s="26" t="s">
        <v>100</v>
      </c>
      <c r="L75" s="28" t="s">
        <v>101</v>
      </c>
      <c r="M75" s="26" t="s">
        <v>100</v>
      </c>
      <c r="N75" s="64"/>
      <c r="O75" s="65"/>
      <c r="P75" s="12" t="s">
        <v>140</v>
      </c>
      <c r="Q75" s="27" t="s">
        <v>99</v>
      </c>
      <c r="R75" s="26" t="s">
        <v>100</v>
      </c>
      <c r="S75" s="28" t="s">
        <v>101</v>
      </c>
      <c r="T75" s="26" t="s">
        <v>100</v>
      </c>
      <c r="U75" s="64"/>
      <c r="V75" s="27" t="s">
        <v>99</v>
      </c>
      <c r="W75" s="26" t="s">
        <v>100</v>
      </c>
      <c r="X75" s="28" t="s">
        <v>101</v>
      </c>
      <c r="Y75" s="26" t="s">
        <v>100</v>
      </c>
      <c r="Z75" s="64"/>
      <c r="AA75" s="27" t="s">
        <v>99</v>
      </c>
      <c r="AB75" s="26" t="s">
        <v>100</v>
      </c>
      <c r="AC75" s="28" t="s">
        <v>101</v>
      </c>
      <c r="AD75" s="26" t="s">
        <v>100</v>
      </c>
      <c r="AE75" s="64"/>
      <c r="AF75" s="27" t="s">
        <v>99</v>
      </c>
      <c r="AG75" s="26" t="s">
        <v>100</v>
      </c>
      <c r="AH75" s="28" t="s">
        <v>101</v>
      </c>
      <c r="AI75" s="26" t="s">
        <v>100</v>
      </c>
      <c r="AJ75" s="64"/>
      <c r="AK75" s="27" t="s">
        <v>99</v>
      </c>
      <c r="AL75" s="26" t="s">
        <v>100</v>
      </c>
      <c r="AM75" s="28" t="s">
        <v>101</v>
      </c>
      <c r="AN75" s="26" t="s">
        <v>100</v>
      </c>
      <c r="AO75" s="64"/>
      <c r="AP75" s="89" t="s">
        <v>99</v>
      </c>
      <c r="AQ75" s="44" t="s">
        <v>100</v>
      </c>
      <c r="AR75" s="88" t="s">
        <v>101</v>
      </c>
      <c r="AS75" s="44" t="s">
        <v>100</v>
      </c>
      <c r="AT75" s="64"/>
      <c r="AU75" s="89" t="s">
        <v>99</v>
      </c>
      <c r="AV75" s="44" t="s">
        <v>100</v>
      </c>
      <c r="AW75" s="88" t="s">
        <v>101</v>
      </c>
      <c r="AX75" s="44" t="s">
        <v>100</v>
      </c>
      <c r="AY75" s="64"/>
      <c r="AZ75" s="89" t="s">
        <v>99</v>
      </c>
      <c r="BA75" s="44" t="s">
        <v>100</v>
      </c>
      <c r="BB75" s="88" t="s">
        <v>101</v>
      </c>
      <c r="BC75" s="44" t="s">
        <v>100</v>
      </c>
      <c r="BD75" s="64"/>
      <c r="BE75" s="89" t="s">
        <v>99</v>
      </c>
      <c r="BF75" s="44" t="s">
        <v>100</v>
      </c>
      <c r="BG75" s="88" t="s">
        <v>101</v>
      </c>
      <c r="BH75" s="44" t="s">
        <v>100</v>
      </c>
      <c r="BI75" s="64"/>
      <c r="BJ75" s="89" t="s">
        <v>99</v>
      </c>
      <c r="BK75" s="44" t="s">
        <v>100</v>
      </c>
      <c r="BL75" s="88" t="s">
        <v>101</v>
      </c>
      <c r="BM75" s="44" t="s">
        <v>100</v>
      </c>
      <c r="BN75" s="64"/>
      <c r="BO75" s="89" t="s">
        <v>99</v>
      </c>
      <c r="BP75" s="44" t="s">
        <v>100</v>
      </c>
      <c r="BQ75" s="88" t="s">
        <v>101</v>
      </c>
      <c r="BR75" s="44" t="s">
        <v>100</v>
      </c>
      <c r="BS75" s="64"/>
      <c r="BT75" s="89" t="s">
        <v>99</v>
      </c>
      <c r="BU75" s="44" t="s">
        <v>100</v>
      </c>
      <c r="BV75" s="88" t="s">
        <v>101</v>
      </c>
      <c r="BW75" s="44" t="s">
        <v>100</v>
      </c>
      <c r="BX75" s="64"/>
      <c r="BY75" s="89" t="s">
        <v>99</v>
      </c>
      <c r="BZ75" s="44" t="s">
        <v>100</v>
      </c>
      <c r="CA75" s="88" t="s">
        <v>101</v>
      </c>
      <c r="CB75" s="44" t="s">
        <v>100</v>
      </c>
      <c r="CC75" s="64"/>
    </row>
    <row r="76" spans="1:81" ht="12.75">
      <c r="A76" s="12"/>
      <c r="B76" s="8"/>
      <c r="C76" s="8"/>
      <c r="D76" s="9"/>
      <c r="E76" s="8"/>
      <c r="F76" s="10"/>
      <c r="G76" s="8"/>
      <c r="H76" s="8"/>
      <c r="I76" s="8"/>
      <c r="J76" s="9"/>
      <c r="K76" s="8"/>
      <c r="L76" s="10"/>
      <c r="N76" s="54"/>
      <c r="O76" s="55"/>
      <c r="P76" s="8"/>
      <c r="Q76" s="9"/>
      <c r="R76" s="8"/>
      <c r="S76" s="10"/>
      <c r="T76" s="34"/>
      <c r="U76" s="54"/>
      <c r="V76" s="9"/>
      <c r="W76" s="8"/>
      <c r="X76" s="10"/>
      <c r="Y76" s="34"/>
      <c r="Z76" s="54"/>
      <c r="AA76" s="9"/>
      <c r="AB76" s="8"/>
      <c r="AC76" s="10"/>
      <c r="AD76" s="34"/>
      <c r="AE76" s="54"/>
      <c r="AF76" s="9"/>
      <c r="AG76" s="8"/>
      <c r="AH76" s="10"/>
      <c r="AI76" s="34"/>
      <c r="AJ76" s="54"/>
      <c r="AK76" s="9"/>
      <c r="AL76" s="8"/>
      <c r="AM76" s="10"/>
      <c r="AN76" s="34"/>
      <c r="AO76" s="54"/>
      <c r="AP76" s="9"/>
      <c r="AQ76" s="8"/>
      <c r="AR76" s="10"/>
      <c r="AS76" s="34"/>
      <c r="AT76" s="54"/>
      <c r="AU76" s="9"/>
      <c r="AV76" s="8"/>
      <c r="AW76" s="10"/>
      <c r="AX76" s="34"/>
      <c r="AY76" s="54"/>
      <c r="AZ76" s="9"/>
      <c r="BA76" s="8"/>
      <c r="BB76" s="10"/>
      <c r="BC76" s="34"/>
      <c r="BD76" s="54"/>
      <c r="BE76" s="9"/>
      <c r="BF76" s="8"/>
      <c r="BG76" s="10"/>
      <c r="BH76" s="34"/>
      <c r="BI76" s="54"/>
      <c r="BJ76" s="9"/>
      <c r="BK76" s="8"/>
      <c r="BL76" s="10"/>
      <c r="BM76" s="34"/>
      <c r="BN76" s="54"/>
      <c r="BO76" s="9"/>
      <c r="BP76" s="8"/>
      <c r="BQ76" s="10"/>
      <c r="BR76" s="34"/>
      <c r="BS76" s="54"/>
      <c r="BT76" s="9"/>
      <c r="BU76" s="8"/>
      <c r="BV76" s="10"/>
      <c r="BW76" s="34"/>
      <c r="BX76" s="54"/>
      <c r="BY76" s="9"/>
      <c r="BZ76" s="8"/>
      <c r="CA76" s="10"/>
      <c r="CB76" s="34"/>
      <c r="CC76" s="54"/>
    </row>
    <row r="77" spans="1:81" ht="12.75">
      <c r="A77" s="8" t="s">
        <v>26</v>
      </c>
      <c r="B77" s="8"/>
      <c r="C77" s="8"/>
      <c r="D77" s="9">
        <v>0</v>
      </c>
      <c r="E77" s="14">
        <f>+D77/$D$92</f>
        <v>0</v>
      </c>
      <c r="F77" s="10">
        <v>0</v>
      </c>
      <c r="G77" s="14">
        <f>+F77/F92</f>
        <v>0</v>
      </c>
      <c r="H77" s="8"/>
      <c r="I77" s="8"/>
      <c r="J77" s="9">
        <v>396.2</v>
      </c>
      <c r="K77" s="14">
        <f>+J77/J92</f>
        <v>1.620047513065861E-05</v>
      </c>
      <c r="L77" s="10">
        <v>2</v>
      </c>
      <c r="M77" s="14">
        <f>+L77/L92</f>
        <v>0.0011179429849077697</v>
      </c>
      <c r="N77" s="56"/>
      <c r="O77" s="55"/>
      <c r="P77" s="14">
        <v>0.0011179429849077697</v>
      </c>
      <c r="Q77" s="9">
        <v>2618.81</v>
      </c>
      <c r="R77" s="14">
        <v>4.438744799385733E-05</v>
      </c>
      <c r="S77" s="10">
        <v>12</v>
      </c>
      <c r="T77" s="14">
        <v>0.0028605482717520858</v>
      </c>
      <c r="U77" s="56"/>
      <c r="V77" s="9">
        <v>6084.63</v>
      </c>
      <c r="W77" s="14">
        <v>9.62221004556375E-05</v>
      </c>
      <c r="X77" s="10">
        <v>28</v>
      </c>
      <c r="Y77" s="14">
        <v>0.006354970494779845</v>
      </c>
      <c r="Z77" s="56"/>
      <c r="AA77" s="9">
        <v>17923.92</v>
      </c>
      <c r="AB77" s="14">
        <v>0.00027741895255337085</v>
      </c>
      <c r="AC77" s="10">
        <v>66</v>
      </c>
      <c r="AD77" s="14">
        <v>0.014755197853789403</v>
      </c>
      <c r="AE77" s="56"/>
      <c r="AF77" s="9">
        <v>36454.34</v>
      </c>
      <c r="AG77" s="14">
        <v>0.0006520146561840719</v>
      </c>
      <c r="AH77" s="10">
        <v>111</v>
      </c>
      <c r="AI77" s="14">
        <v>0.027673896783844427</v>
      </c>
      <c r="AJ77" s="56"/>
      <c r="AK77" s="9">
        <v>55136.83</v>
      </c>
      <c r="AL77" s="14">
        <v>0.001198620682708581</v>
      </c>
      <c r="AM77" s="10">
        <v>166</v>
      </c>
      <c r="AN77" s="14">
        <v>0.047619047619047616</v>
      </c>
      <c r="AO77" s="56"/>
      <c r="AP77" s="9">
        <v>80597.56000000008</v>
      </c>
      <c r="AQ77" s="14">
        <v>0.0011057726688350955</v>
      </c>
      <c r="AR77" s="10">
        <v>216</v>
      </c>
      <c r="AS77" s="14">
        <v>0.047936085219707054</v>
      </c>
      <c r="AT77" s="56"/>
      <c r="AU77" s="9">
        <v>10681.43</v>
      </c>
      <c r="AV77" s="14">
        <v>0.0001613319604889125</v>
      </c>
      <c r="AW77" s="10">
        <v>6</v>
      </c>
      <c r="AX77" s="14">
        <v>0.001554001554001554</v>
      </c>
      <c r="AY77" s="56"/>
      <c r="AZ77" s="9">
        <v>31458.66</v>
      </c>
      <c r="BA77" s="14">
        <v>0.0004831376057886443</v>
      </c>
      <c r="BB77" s="10">
        <v>13</v>
      </c>
      <c r="BC77" s="14">
        <v>0.003519220357336221</v>
      </c>
      <c r="BD77" s="56"/>
      <c r="BE77" s="9">
        <v>19000.98</v>
      </c>
      <c r="BF77" s="14">
        <v>0.0002110611973730045</v>
      </c>
      <c r="BG77" s="10">
        <v>15</v>
      </c>
      <c r="BH77" s="14">
        <v>0.003247456159341849</v>
      </c>
      <c r="BI77" s="56"/>
      <c r="BJ77" s="9">
        <v>15374.47</v>
      </c>
      <c r="BK77" s="14">
        <v>0.000161340664245001</v>
      </c>
      <c r="BL77" s="10">
        <v>15</v>
      </c>
      <c r="BM77" s="14">
        <v>0.003177292946409659</v>
      </c>
      <c r="BN77" s="56"/>
      <c r="BO77" s="9">
        <v>9138.51</v>
      </c>
      <c r="BP77" s="14">
        <v>9.24097270681905E-05</v>
      </c>
      <c r="BQ77" s="10">
        <v>12</v>
      </c>
      <c r="BR77" s="14">
        <v>0.002523128679562658</v>
      </c>
      <c r="BS77" s="56"/>
      <c r="BT77" s="9">
        <v>3434.89</v>
      </c>
      <c r="BU77" s="14">
        <v>3.337113411326487E-05</v>
      </c>
      <c r="BV77" s="10">
        <v>7</v>
      </c>
      <c r="BW77" s="14">
        <v>0.0014641288433382138</v>
      </c>
      <c r="BX77" s="56"/>
      <c r="BY77" s="9">
        <v>15740.8</v>
      </c>
      <c r="BZ77" s="14">
        <v>0.00014578084933031962</v>
      </c>
      <c r="CA77" s="10">
        <v>10</v>
      </c>
      <c r="CB77" s="14">
        <v>0.002069108214359611</v>
      </c>
      <c r="CC77" s="56"/>
    </row>
    <row r="78" spans="1:81" ht="12.75">
      <c r="A78" s="8" t="s">
        <v>27</v>
      </c>
      <c r="B78" s="8"/>
      <c r="C78" s="8"/>
      <c r="D78" s="9">
        <v>0</v>
      </c>
      <c r="E78" s="14">
        <f aca="true" t="shared" si="12" ref="E78:E90">+D78/$D$92</f>
        <v>0</v>
      </c>
      <c r="F78" s="10">
        <v>0</v>
      </c>
      <c r="G78" s="14">
        <f>+F78/$F$92</f>
        <v>0</v>
      </c>
      <c r="H78" s="8"/>
      <c r="I78" s="8"/>
      <c r="J78" s="9">
        <v>0</v>
      </c>
      <c r="K78" s="14">
        <f>+J78/$J$92</f>
        <v>0</v>
      </c>
      <c r="L78" s="10">
        <v>0</v>
      </c>
      <c r="M78" s="14">
        <f>+L78/$L$92</f>
        <v>0</v>
      </c>
      <c r="N78" s="56"/>
      <c r="O78" s="55"/>
      <c r="P78" s="14">
        <v>0</v>
      </c>
      <c r="Q78" s="9">
        <v>0</v>
      </c>
      <c r="R78" s="14">
        <v>0</v>
      </c>
      <c r="S78" s="10">
        <v>0</v>
      </c>
      <c r="T78" s="14">
        <v>0</v>
      </c>
      <c r="U78" s="56"/>
      <c r="V78" s="9">
        <v>24831.77</v>
      </c>
      <c r="W78" s="14">
        <v>0.0003926886379995637</v>
      </c>
      <c r="X78" s="10">
        <v>6</v>
      </c>
      <c r="Y78" s="14">
        <v>0.0013617793917385383</v>
      </c>
      <c r="Z78" s="56"/>
      <c r="AA78" s="9">
        <v>33719.42</v>
      </c>
      <c r="AB78" s="14">
        <v>0.0005218951087210375</v>
      </c>
      <c r="AC78" s="10">
        <v>11</v>
      </c>
      <c r="AD78" s="14">
        <v>0.0024591996422982337</v>
      </c>
      <c r="AE78" s="56"/>
      <c r="AF78" s="9">
        <v>97011.33</v>
      </c>
      <c r="AG78" s="14">
        <v>0.0017351242396902418</v>
      </c>
      <c r="AH78" s="10">
        <v>25</v>
      </c>
      <c r="AI78" s="14">
        <v>0.006232859636000997</v>
      </c>
      <c r="AJ78" s="56"/>
      <c r="AK78" s="9">
        <v>98982.49</v>
      </c>
      <c r="AL78" s="14">
        <v>0.00215178238828738</v>
      </c>
      <c r="AM78" s="10">
        <v>29</v>
      </c>
      <c r="AN78" s="14">
        <v>0.00831899024670109</v>
      </c>
      <c r="AO78" s="56"/>
      <c r="AP78" s="9">
        <v>77383.26</v>
      </c>
      <c r="AQ78" s="14">
        <v>0.0010616735039293993</v>
      </c>
      <c r="AR78" s="10">
        <v>24</v>
      </c>
      <c r="AS78" s="14">
        <v>0.005326231691078562</v>
      </c>
      <c r="AT78" s="56"/>
      <c r="AU78" s="9">
        <v>57286.37</v>
      </c>
      <c r="AV78" s="14">
        <v>0.0008652514112242669</v>
      </c>
      <c r="AW78" s="10">
        <v>18</v>
      </c>
      <c r="AX78" s="14">
        <v>0.004662004662004662</v>
      </c>
      <c r="AY78" s="56"/>
      <c r="AZ78" s="9">
        <v>31483.69</v>
      </c>
      <c r="BA78" s="14">
        <v>0.000483522012952614</v>
      </c>
      <c r="BB78" s="10">
        <v>12</v>
      </c>
      <c r="BC78" s="14">
        <v>0.0032485110990795887</v>
      </c>
      <c r="BD78" s="56"/>
      <c r="BE78" s="9">
        <v>49149.75</v>
      </c>
      <c r="BF78" s="14">
        <v>0.000545951055449973</v>
      </c>
      <c r="BG78" s="10">
        <v>15</v>
      </c>
      <c r="BH78" s="14">
        <v>0.003247456159341849</v>
      </c>
      <c r="BI78" s="56"/>
      <c r="BJ78" s="9">
        <v>461508.75</v>
      </c>
      <c r="BK78" s="14">
        <v>0.004843102121886487</v>
      </c>
      <c r="BL78" s="10">
        <v>113</v>
      </c>
      <c r="BM78" s="14">
        <v>0.023935606862952763</v>
      </c>
      <c r="BN78" s="56"/>
      <c r="BO78" s="9">
        <v>1012350.69</v>
      </c>
      <c r="BP78" s="14">
        <v>0.010237013578821296</v>
      </c>
      <c r="BQ78" s="10">
        <v>271</v>
      </c>
      <c r="BR78" s="14">
        <v>0.056980656013456685</v>
      </c>
      <c r="BS78" s="56"/>
      <c r="BT78" s="9">
        <v>1850525.99</v>
      </c>
      <c r="BU78" s="14">
        <v>0.01797849450560929</v>
      </c>
      <c r="BV78" s="10">
        <v>513</v>
      </c>
      <c r="BW78" s="14">
        <v>0.10729972809035766</v>
      </c>
      <c r="BX78" s="56"/>
      <c r="BY78" s="9">
        <v>1958996.1</v>
      </c>
      <c r="BZ78" s="14">
        <v>0.018142922551127264</v>
      </c>
      <c r="CA78" s="10">
        <v>597</v>
      </c>
      <c r="CB78" s="14">
        <v>0.12352576039726877</v>
      </c>
      <c r="CC78" s="56"/>
    </row>
    <row r="79" spans="1:81" ht="12.75">
      <c r="A79" s="8" t="s">
        <v>28</v>
      </c>
      <c r="B79" s="8"/>
      <c r="C79" s="8"/>
      <c r="D79" s="9">
        <v>83889.93</v>
      </c>
      <c r="E79" s="14">
        <f t="shared" si="12"/>
        <v>0.003260432689651041</v>
      </c>
      <c r="F79" s="10">
        <v>18</v>
      </c>
      <c r="G79" s="14">
        <f aca="true" t="shared" si="13" ref="G79:G90">+F79/$F$92</f>
        <v>0.00968783638320775</v>
      </c>
      <c r="H79" s="8"/>
      <c r="I79" s="8"/>
      <c r="J79" s="9">
        <v>76065.7</v>
      </c>
      <c r="K79" s="14">
        <f aca="true" t="shared" si="14" ref="K79:K90">+J79/$J$92</f>
        <v>0.0031102990437812685</v>
      </c>
      <c r="L79" s="10">
        <v>17</v>
      </c>
      <c r="M79" s="14">
        <f aca="true" t="shared" si="15" ref="M79:M90">+L79/$L$92</f>
        <v>0.009502515371716043</v>
      </c>
      <c r="N79" s="56"/>
      <c r="O79" s="55"/>
      <c r="P79" s="14">
        <v>0.009502515371716043</v>
      </c>
      <c r="Q79" s="9">
        <v>216637.13</v>
      </c>
      <c r="R79" s="14">
        <v>0.0036718850704760965</v>
      </c>
      <c r="S79" s="10">
        <v>45</v>
      </c>
      <c r="T79" s="14">
        <v>0.010727056019070322</v>
      </c>
      <c r="U79" s="56"/>
      <c r="V79" s="9">
        <v>179214.44</v>
      </c>
      <c r="W79" s="14">
        <v>0.0028340901334642887</v>
      </c>
      <c r="X79" s="10">
        <v>37</v>
      </c>
      <c r="Y79" s="14">
        <v>0.008397639582387654</v>
      </c>
      <c r="Z79" s="56"/>
      <c r="AA79" s="9">
        <v>182349.75</v>
      </c>
      <c r="AB79" s="14">
        <v>0.002822333320131367</v>
      </c>
      <c r="AC79" s="10">
        <v>39</v>
      </c>
      <c r="AD79" s="14">
        <v>0.008718980549966466</v>
      </c>
      <c r="AE79" s="56"/>
      <c r="AF79" s="9">
        <v>102840.81</v>
      </c>
      <c r="AG79" s="14">
        <v>0.0018393890925975198</v>
      </c>
      <c r="AH79" s="10">
        <v>25</v>
      </c>
      <c r="AI79" s="14">
        <v>0.006232859636000997</v>
      </c>
      <c r="AJ79" s="56"/>
      <c r="AK79" s="9">
        <v>89193.13</v>
      </c>
      <c r="AL79" s="14">
        <v>0.001938971289671807</v>
      </c>
      <c r="AM79" s="10">
        <v>19</v>
      </c>
      <c r="AN79" s="14">
        <v>0.005450372920252439</v>
      </c>
      <c r="AO79" s="56"/>
      <c r="AP79" s="9">
        <v>879050.19</v>
      </c>
      <c r="AQ79" s="14">
        <v>0.01206028662203045</v>
      </c>
      <c r="AR79" s="10">
        <v>159</v>
      </c>
      <c r="AS79" s="14">
        <v>0.035286284953395475</v>
      </c>
      <c r="AT79" s="56"/>
      <c r="AU79" s="9">
        <v>2016255.13</v>
      </c>
      <c r="AV79" s="14">
        <v>0.030453449862867348</v>
      </c>
      <c r="AW79" s="10">
        <v>374</v>
      </c>
      <c r="AX79" s="14">
        <v>0.09686609686609686</v>
      </c>
      <c r="AY79" s="56"/>
      <c r="AZ79" s="9">
        <v>3761785.38</v>
      </c>
      <c r="BA79" s="14">
        <v>0.05777296242064742</v>
      </c>
      <c r="BB79" s="10">
        <v>706</v>
      </c>
      <c r="BC79" s="14">
        <v>0.19112073632918244</v>
      </c>
      <c r="BD79" s="56"/>
      <c r="BE79" s="9">
        <v>4188813.34</v>
      </c>
      <c r="BF79" s="14">
        <v>0.04652896635396772</v>
      </c>
      <c r="BG79" s="10">
        <v>824</v>
      </c>
      <c r="BH79" s="14">
        <v>0.17839359168651223</v>
      </c>
      <c r="BI79" s="56"/>
      <c r="BJ79" s="9">
        <v>3323228.4900000067</v>
      </c>
      <c r="BK79" s="14">
        <v>0.034874170752846295</v>
      </c>
      <c r="BL79" s="10">
        <v>687</v>
      </c>
      <c r="BM79" s="14">
        <v>0.14552001694556238</v>
      </c>
      <c r="BN79" s="56"/>
      <c r="BO79" s="9">
        <v>2236522.4</v>
      </c>
      <c r="BP79" s="14">
        <v>0.022615987132026387</v>
      </c>
      <c r="BQ79" s="10">
        <v>481</v>
      </c>
      <c r="BR79" s="14">
        <v>0.10113540790580319</v>
      </c>
      <c r="BS79" s="56"/>
      <c r="BT79" s="9">
        <v>976780.050000001</v>
      </c>
      <c r="BU79" s="14">
        <v>0.009489753106420175</v>
      </c>
      <c r="BV79" s="10">
        <v>204</v>
      </c>
      <c r="BW79" s="14">
        <v>0.04266889772014223</v>
      </c>
      <c r="BX79" s="56"/>
      <c r="BY79" s="9">
        <v>631749.03</v>
      </c>
      <c r="BZ79" s="14">
        <v>0.005850840500927877</v>
      </c>
      <c r="CA79" s="10">
        <v>104</v>
      </c>
      <c r="CB79" s="14">
        <v>0.021518725429339955</v>
      </c>
      <c r="CC79" s="56"/>
    </row>
    <row r="80" spans="1:81" ht="12.75">
      <c r="A80" s="8" t="s">
        <v>29</v>
      </c>
      <c r="B80" s="8"/>
      <c r="C80" s="8"/>
      <c r="D80" s="9">
        <v>14545.51</v>
      </c>
      <c r="E80" s="14">
        <f t="shared" si="12"/>
        <v>0.000565320012683836</v>
      </c>
      <c r="F80" s="10">
        <v>4</v>
      </c>
      <c r="G80" s="14">
        <f t="shared" si="13"/>
        <v>0.002152852529601722</v>
      </c>
      <c r="H80" s="8"/>
      <c r="I80" s="8"/>
      <c r="J80" s="9">
        <v>13958.34</v>
      </c>
      <c r="K80" s="14">
        <f t="shared" si="14"/>
        <v>0.0005707514892359346</v>
      </c>
      <c r="L80" s="10">
        <v>4</v>
      </c>
      <c r="M80" s="14">
        <f t="shared" si="15"/>
        <v>0.0022358859698155395</v>
      </c>
      <c r="N80" s="56"/>
      <c r="O80" s="55"/>
      <c r="P80" s="14">
        <v>0.0022358859698155395</v>
      </c>
      <c r="Q80" s="9">
        <v>133791.3</v>
      </c>
      <c r="R80" s="14">
        <v>0.002267691955804569</v>
      </c>
      <c r="S80" s="10">
        <v>21</v>
      </c>
      <c r="T80" s="14">
        <v>0.00500595947556615</v>
      </c>
      <c r="U80" s="56"/>
      <c r="V80" s="9">
        <v>1468391.45</v>
      </c>
      <c r="W80" s="14">
        <v>0.023221084866310537</v>
      </c>
      <c r="X80" s="10">
        <v>208</v>
      </c>
      <c r="Y80" s="14">
        <v>0.047208352246935995</v>
      </c>
      <c r="Z80" s="56"/>
      <c r="AA80" s="9">
        <v>3782848.44</v>
      </c>
      <c r="AB80" s="14">
        <v>0.058549349243522196</v>
      </c>
      <c r="AC80" s="10">
        <v>539</v>
      </c>
      <c r="AD80" s="14">
        <v>0.12050078247261346</v>
      </c>
      <c r="AE80" s="56"/>
      <c r="AF80" s="9">
        <v>7266237.809999989</v>
      </c>
      <c r="AG80" s="14">
        <v>0.129962400840033</v>
      </c>
      <c r="AH80" s="10">
        <v>1049</v>
      </c>
      <c r="AI80" s="14">
        <v>0.26153079032660187</v>
      </c>
      <c r="AJ80" s="56"/>
      <c r="AK80" s="9">
        <v>7972306.730000003</v>
      </c>
      <c r="AL80" s="14">
        <v>0.1733101401635679</v>
      </c>
      <c r="AM80" s="10">
        <v>1189</v>
      </c>
      <c r="AN80" s="14">
        <v>0.34107860011474467</v>
      </c>
      <c r="AO80" s="56"/>
      <c r="AP80" s="9">
        <v>6845053.400000004</v>
      </c>
      <c r="AQ80" s="14">
        <v>0.09391193686802356</v>
      </c>
      <c r="AR80" s="10">
        <v>1051</v>
      </c>
      <c r="AS80" s="14">
        <v>0.2332445628051487</v>
      </c>
      <c r="AT80" s="56"/>
      <c r="AU80" s="9">
        <v>4700295.309999988</v>
      </c>
      <c r="AV80" s="14">
        <v>0.07099310272492904</v>
      </c>
      <c r="AW80" s="10">
        <v>736</v>
      </c>
      <c r="AX80" s="14">
        <v>0.19062419062419061</v>
      </c>
      <c r="AY80" s="56"/>
      <c r="AZ80" s="9">
        <v>2019675.21</v>
      </c>
      <c r="BA80" s="14">
        <v>0.031017883324657727</v>
      </c>
      <c r="BB80" s="10">
        <v>305</v>
      </c>
      <c r="BC80" s="14">
        <v>0.08256632376827287</v>
      </c>
      <c r="BD80" s="56"/>
      <c r="BE80" s="9">
        <v>1484611.48</v>
      </c>
      <c r="BF80" s="14">
        <v>0.016490932394145372</v>
      </c>
      <c r="BG80" s="10">
        <v>182</v>
      </c>
      <c r="BH80" s="14">
        <v>0.0394024680666811</v>
      </c>
      <c r="BI80" s="56"/>
      <c r="BJ80" s="9">
        <v>1304926.89</v>
      </c>
      <c r="BK80" s="14">
        <v>0.013693985628367242</v>
      </c>
      <c r="BL80" s="10">
        <v>158</v>
      </c>
      <c r="BM80" s="14">
        <v>0.03346748570218174</v>
      </c>
      <c r="BN80" s="56"/>
      <c r="BO80" s="9">
        <v>1935274.03</v>
      </c>
      <c r="BP80" s="14">
        <v>0.019569726893602694</v>
      </c>
      <c r="BQ80" s="10">
        <v>219</v>
      </c>
      <c r="BR80" s="14">
        <v>0.0460470984020185</v>
      </c>
      <c r="BS80" s="56"/>
      <c r="BT80" s="9">
        <v>1950788.02</v>
      </c>
      <c r="BU80" s="14">
        <v>0.01895257450514294</v>
      </c>
      <c r="BV80" s="10">
        <v>217</v>
      </c>
      <c r="BW80" s="14">
        <v>0.04538799414348463</v>
      </c>
      <c r="BX80" s="56"/>
      <c r="BY80" s="9">
        <v>1829668.32</v>
      </c>
      <c r="BZ80" s="14">
        <v>0.01694517443092974</v>
      </c>
      <c r="CA80" s="10">
        <v>205</v>
      </c>
      <c r="CB80" s="14">
        <v>0.04241671839437203</v>
      </c>
      <c r="CC80" s="56"/>
    </row>
    <row r="81" spans="1:81" ht="12.75">
      <c r="A81" s="8" t="s">
        <v>30</v>
      </c>
      <c r="B81" s="8"/>
      <c r="C81" s="8"/>
      <c r="D81" s="9">
        <v>6273568.10000001</v>
      </c>
      <c r="E81" s="14">
        <f t="shared" si="12"/>
        <v>0.24382600526656778</v>
      </c>
      <c r="F81" s="10">
        <v>752</v>
      </c>
      <c r="G81" s="14">
        <f t="shared" si="13"/>
        <v>0.4047362755651238</v>
      </c>
      <c r="H81" s="8"/>
      <c r="I81" s="8"/>
      <c r="J81" s="9">
        <v>5761944.32999999</v>
      </c>
      <c r="K81" s="14">
        <f t="shared" si="14"/>
        <v>0.23560382590208032</v>
      </c>
      <c r="L81" s="10">
        <v>715</v>
      </c>
      <c r="M81" s="14">
        <f t="shared" si="15"/>
        <v>0.39966461710452766</v>
      </c>
      <c r="N81" s="56"/>
      <c r="O81" s="55"/>
      <c r="P81" s="14">
        <v>0.39966461710452766</v>
      </c>
      <c r="Q81" s="9">
        <v>13546710.330000052</v>
      </c>
      <c r="R81" s="14">
        <v>0.22960959376996692</v>
      </c>
      <c r="S81" s="10">
        <v>1680</v>
      </c>
      <c r="T81" s="14">
        <v>0.40047675804529204</v>
      </c>
      <c r="U81" s="56"/>
      <c r="V81" s="9">
        <v>12045495.300000044</v>
      </c>
      <c r="W81" s="14">
        <v>0.19048699079393708</v>
      </c>
      <c r="X81" s="10">
        <v>1518</v>
      </c>
      <c r="Y81" s="14">
        <v>0.3445301861098502</v>
      </c>
      <c r="Z81" s="56"/>
      <c r="AA81" s="9">
        <v>9043114.240000013</v>
      </c>
      <c r="AB81" s="14">
        <v>0.13996554773070147</v>
      </c>
      <c r="AC81" s="10">
        <v>1145</v>
      </c>
      <c r="AD81" s="14">
        <v>0.2559803264028616</v>
      </c>
      <c r="AE81" s="56"/>
      <c r="AF81" s="9">
        <v>3884499.79</v>
      </c>
      <c r="AG81" s="14">
        <v>0.06947734604505112</v>
      </c>
      <c r="AH81" s="10">
        <v>487</v>
      </c>
      <c r="AI81" s="14">
        <v>0.12141610570929942</v>
      </c>
      <c r="AJ81" s="56"/>
      <c r="AK81" s="9">
        <v>1469937.43</v>
      </c>
      <c r="AL81" s="14">
        <v>0.031955000058681245</v>
      </c>
      <c r="AM81" s="10">
        <v>173</v>
      </c>
      <c r="AN81" s="14">
        <v>0.04962707974756168</v>
      </c>
      <c r="AO81" s="56"/>
      <c r="AP81" s="9">
        <v>2415594.27</v>
      </c>
      <c r="AQ81" s="14">
        <v>0.03314117850168992</v>
      </c>
      <c r="AR81" s="10">
        <v>245</v>
      </c>
      <c r="AS81" s="14">
        <v>0.054371948513093654</v>
      </c>
      <c r="AT81" s="56"/>
      <c r="AU81" s="9">
        <v>2306167.43</v>
      </c>
      <c r="AV81" s="14">
        <v>0.03483227551906222</v>
      </c>
      <c r="AW81" s="10">
        <v>225</v>
      </c>
      <c r="AX81" s="14">
        <v>0.05827505827505827</v>
      </c>
      <c r="AY81" s="56"/>
      <c r="AZ81" s="9">
        <v>2556525.82</v>
      </c>
      <c r="BA81" s="14">
        <v>0.03926275829331735</v>
      </c>
      <c r="BB81" s="10">
        <v>252</v>
      </c>
      <c r="BC81" s="14">
        <v>0.06821873308067136</v>
      </c>
      <c r="BD81" s="56"/>
      <c r="BE81" s="9">
        <v>3512254.54</v>
      </c>
      <c r="BF81" s="14">
        <v>0.03901381132400388</v>
      </c>
      <c r="BG81" s="10">
        <v>329</v>
      </c>
      <c r="BH81" s="14">
        <v>0.07122753842823122</v>
      </c>
      <c r="BI81" s="56"/>
      <c r="BJ81" s="9">
        <v>3503137.62</v>
      </c>
      <c r="BK81" s="14">
        <v>0.03676214858479361</v>
      </c>
      <c r="BL81" s="10">
        <v>337</v>
      </c>
      <c r="BM81" s="14">
        <v>0.07138318152933701</v>
      </c>
      <c r="BN81" s="56"/>
      <c r="BO81" s="9">
        <v>2540904.42</v>
      </c>
      <c r="BP81" s="14">
        <v>0.025693935221229623</v>
      </c>
      <c r="BQ81" s="10">
        <v>241</v>
      </c>
      <c r="BR81" s="14">
        <v>0.05067283431455004</v>
      </c>
      <c r="BS81" s="56"/>
      <c r="BT81" s="9">
        <v>2183997.66</v>
      </c>
      <c r="BU81" s="14">
        <v>0.0212182861212198</v>
      </c>
      <c r="BV81" s="10">
        <v>202</v>
      </c>
      <c r="BW81" s="14">
        <v>0.042250575193474166</v>
      </c>
      <c r="BX81" s="56"/>
      <c r="BY81" s="9">
        <v>1850182.53</v>
      </c>
      <c r="BZ81" s="14">
        <v>0.017135163437660073</v>
      </c>
      <c r="CA81" s="10">
        <v>163</v>
      </c>
      <c r="CB81" s="14">
        <v>0.033726463894061656</v>
      </c>
      <c r="CC81" s="56"/>
    </row>
    <row r="82" spans="1:81" ht="12.75">
      <c r="A82" s="8" t="s">
        <v>83</v>
      </c>
      <c r="B82" s="8"/>
      <c r="C82" s="8"/>
      <c r="D82" s="9">
        <v>228140.3</v>
      </c>
      <c r="E82" s="14">
        <f t="shared" si="12"/>
        <v>0.00886681025895236</v>
      </c>
      <c r="F82" s="10">
        <v>22</v>
      </c>
      <c r="G82" s="14">
        <f t="shared" si="13"/>
        <v>0.011840688912809472</v>
      </c>
      <c r="H82" s="8"/>
      <c r="I82" s="8"/>
      <c r="J82" s="9">
        <v>222520.22</v>
      </c>
      <c r="K82" s="14">
        <f t="shared" si="14"/>
        <v>0.009098771555221308</v>
      </c>
      <c r="L82" s="10">
        <v>22</v>
      </c>
      <c r="M82" s="14">
        <f t="shared" si="15"/>
        <v>0.012297372833985467</v>
      </c>
      <c r="N82" s="56"/>
      <c r="O82" s="55"/>
      <c r="P82" s="14">
        <v>0.012297372833985467</v>
      </c>
      <c r="Q82" s="9">
        <v>685788.37</v>
      </c>
      <c r="R82" s="14">
        <v>0.01162375109617238</v>
      </c>
      <c r="S82" s="10">
        <v>62</v>
      </c>
      <c r="T82" s="14">
        <v>0.014779499404052444</v>
      </c>
      <c r="U82" s="56"/>
      <c r="V82" s="9">
        <v>930456.16</v>
      </c>
      <c r="W82" s="14">
        <v>0.014714197263775566</v>
      </c>
      <c r="X82" s="10">
        <v>85</v>
      </c>
      <c r="Y82" s="14">
        <v>0.01929187471629596</v>
      </c>
      <c r="Z82" s="56"/>
      <c r="AA82" s="9">
        <v>1195302.66</v>
      </c>
      <c r="AB82" s="14">
        <v>0.018500395667993264</v>
      </c>
      <c r="AC82" s="10">
        <v>105</v>
      </c>
      <c r="AD82" s="14">
        <v>0.023474178403755867</v>
      </c>
      <c r="AE82" s="56"/>
      <c r="AF82" s="9">
        <v>1240573.57</v>
      </c>
      <c r="AG82" s="14">
        <v>0.022188637888234893</v>
      </c>
      <c r="AH82" s="10">
        <v>110</v>
      </c>
      <c r="AI82" s="14">
        <v>0.02742458239840439</v>
      </c>
      <c r="AJ82" s="56"/>
      <c r="AK82" s="9">
        <v>1519665.75</v>
      </c>
      <c r="AL82" s="14">
        <v>0.033036045031131604</v>
      </c>
      <c r="AM82" s="10">
        <v>135</v>
      </c>
      <c r="AN82" s="14">
        <v>0.0387263339070568</v>
      </c>
      <c r="AO82" s="56"/>
      <c r="AP82" s="9">
        <v>1907719.66</v>
      </c>
      <c r="AQ82" s="14">
        <v>0.026173301770269213</v>
      </c>
      <c r="AR82" s="10">
        <v>154</v>
      </c>
      <c r="AS82" s="14">
        <v>0.03417665335108744</v>
      </c>
      <c r="AT82" s="56"/>
      <c r="AU82" s="9">
        <v>1513706.77</v>
      </c>
      <c r="AV82" s="14">
        <v>0.02286297628776666</v>
      </c>
      <c r="AW82" s="10">
        <v>127</v>
      </c>
      <c r="AX82" s="14">
        <v>0.03289303289303289</v>
      </c>
      <c r="AY82" s="56"/>
      <c r="AZ82" s="9">
        <v>1178739.57</v>
      </c>
      <c r="BA82" s="14">
        <v>0.01810291390981484</v>
      </c>
      <c r="BB82" s="10">
        <v>93</v>
      </c>
      <c r="BC82" s="14">
        <v>0.025175961017866812</v>
      </c>
      <c r="BD82" s="56"/>
      <c r="BE82" s="9">
        <v>1464353.95</v>
      </c>
      <c r="BF82" s="14">
        <v>0.01626591355103204</v>
      </c>
      <c r="BG82" s="10">
        <v>105</v>
      </c>
      <c r="BH82" s="14">
        <v>0.022732193115392943</v>
      </c>
      <c r="BI82" s="56"/>
      <c r="BJ82" s="9">
        <v>1057639.01</v>
      </c>
      <c r="BK82" s="14">
        <v>0.011098930916306397</v>
      </c>
      <c r="BL82" s="10">
        <v>79</v>
      </c>
      <c r="BM82" s="14">
        <v>0.01673374285109087</v>
      </c>
      <c r="BN82" s="56"/>
      <c r="BO82" s="9">
        <v>915194.31</v>
      </c>
      <c r="BP82" s="14">
        <v>0.009254556421283217</v>
      </c>
      <c r="BQ82" s="10">
        <v>70</v>
      </c>
      <c r="BR82" s="14">
        <v>0.01471825063078217</v>
      </c>
      <c r="BS82" s="56"/>
      <c r="BT82" s="9">
        <v>1166201.01</v>
      </c>
      <c r="BU82" s="14">
        <v>0.011330042681930113</v>
      </c>
      <c r="BV82" s="10">
        <v>85</v>
      </c>
      <c r="BW82" s="14">
        <v>0.017778707383392597</v>
      </c>
      <c r="BX82" s="56"/>
      <c r="BY82" s="9">
        <v>1271840.42</v>
      </c>
      <c r="BZ82" s="14">
        <v>0.011778942407007933</v>
      </c>
      <c r="CA82" s="10">
        <v>92</v>
      </c>
      <c r="CB82" s="14">
        <v>0.01903579557210842</v>
      </c>
      <c r="CC82" s="56"/>
    </row>
    <row r="83" spans="1:81" ht="12.75">
      <c r="A83" s="8" t="s">
        <v>84</v>
      </c>
      <c r="B83" s="8"/>
      <c r="C83" s="8"/>
      <c r="D83" s="9">
        <v>1326702.05</v>
      </c>
      <c r="E83" s="14">
        <f t="shared" si="12"/>
        <v>0.05156307477246733</v>
      </c>
      <c r="F83" s="10">
        <v>105</v>
      </c>
      <c r="G83" s="14">
        <f t="shared" si="13"/>
        <v>0.05651237890204521</v>
      </c>
      <c r="H83" s="8"/>
      <c r="I83" s="8"/>
      <c r="J83" s="9">
        <v>1352789.42</v>
      </c>
      <c r="K83" s="14">
        <f t="shared" si="14"/>
        <v>0.055315071569227874</v>
      </c>
      <c r="L83" s="10">
        <v>110</v>
      </c>
      <c r="M83" s="14">
        <f t="shared" si="15"/>
        <v>0.06148686416992733</v>
      </c>
      <c r="N83" s="56"/>
      <c r="O83" s="55"/>
      <c r="P83" s="14">
        <v>0.06148686416992733</v>
      </c>
      <c r="Q83" s="9">
        <v>2783041.86</v>
      </c>
      <c r="R83" s="14">
        <v>0.04717109138329163</v>
      </c>
      <c r="S83" s="10">
        <v>221</v>
      </c>
      <c r="T83" s="14">
        <v>0.05268176400476758</v>
      </c>
      <c r="U83" s="56"/>
      <c r="V83" s="9">
        <v>3034515.84</v>
      </c>
      <c r="W83" s="14">
        <v>0.04798771461710952</v>
      </c>
      <c r="X83" s="10">
        <v>242</v>
      </c>
      <c r="Y83" s="14">
        <v>0.05492510213345438</v>
      </c>
      <c r="Z83" s="56"/>
      <c r="AA83" s="9">
        <v>2894597.06</v>
      </c>
      <c r="AB83" s="14">
        <v>0.044801365128234585</v>
      </c>
      <c r="AC83" s="10">
        <v>228</v>
      </c>
      <c r="AD83" s="14">
        <v>0.05097250167672703</v>
      </c>
      <c r="AE83" s="56"/>
      <c r="AF83" s="9">
        <v>2113543.82</v>
      </c>
      <c r="AG83" s="14">
        <v>0.03780240012923756</v>
      </c>
      <c r="AH83" s="10">
        <v>168</v>
      </c>
      <c r="AI83" s="14">
        <v>0.041884816753926704</v>
      </c>
      <c r="AJ83" s="56"/>
      <c r="AK83" s="9">
        <v>1276956.41</v>
      </c>
      <c r="AL83" s="14">
        <v>0.02775978169117264</v>
      </c>
      <c r="AM83" s="10">
        <v>104</v>
      </c>
      <c r="AN83" s="14">
        <v>0.02983362019506598</v>
      </c>
      <c r="AO83" s="56"/>
      <c r="AP83" s="9">
        <v>1605150.73</v>
      </c>
      <c r="AQ83" s="14">
        <v>0.02202215310978025</v>
      </c>
      <c r="AR83" s="10">
        <v>113</v>
      </c>
      <c r="AS83" s="14">
        <v>0.025077674212161564</v>
      </c>
      <c r="AT83" s="56"/>
      <c r="AU83" s="9">
        <v>1346740.03</v>
      </c>
      <c r="AV83" s="14">
        <v>0.02034111624649478</v>
      </c>
      <c r="AW83" s="10">
        <v>90</v>
      </c>
      <c r="AX83" s="14">
        <v>0.023310023310023312</v>
      </c>
      <c r="AY83" s="56"/>
      <c r="AZ83" s="9">
        <v>1163660.15</v>
      </c>
      <c r="BA83" s="14">
        <v>0.017871326331848035</v>
      </c>
      <c r="BB83" s="10">
        <v>82</v>
      </c>
      <c r="BC83" s="14">
        <v>0.022198159177043854</v>
      </c>
      <c r="BD83" s="56"/>
      <c r="BE83" s="9">
        <v>1479515.07</v>
      </c>
      <c r="BF83" s="14">
        <v>0.01643432192474307</v>
      </c>
      <c r="BG83" s="10">
        <v>98</v>
      </c>
      <c r="BH83" s="14">
        <v>0.021216713574366747</v>
      </c>
      <c r="BI83" s="56"/>
      <c r="BJ83" s="9">
        <v>2043454.97</v>
      </c>
      <c r="BK83" s="14">
        <v>0.021444146186148115</v>
      </c>
      <c r="BL83" s="10">
        <v>134</v>
      </c>
      <c r="BM83" s="14">
        <v>0.028383816987926285</v>
      </c>
      <c r="BN83" s="56"/>
      <c r="BO83" s="9">
        <v>2338504.21</v>
      </c>
      <c r="BP83" s="14">
        <v>0.023647239625925274</v>
      </c>
      <c r="BQ83" s="10">
        <v>168</v>
      </c>
      <c r="BR83" s="14">
        <v>0.03532380151387721</v>
      </c>
      <c r="BS83" s="56"/>
      <c r="BT83" s="9">
        <v>3184452.42</v>
      </c>
      <c r="BU83" s="14">
        <v>0.030938047152930893</v>
      </c>
      <c r="BV83" s="10">
        <v>223</v>
      </c>
      <c r="BW83" s="14">
        <v>0.04664296172348881</v>
      </c>
      <c r="BX83" s="56"/>
      <c r="BY83" s="9">
        <v>3342584.98</v>
      </c>
      <c r="BZ83" s="14">
        <v>0.030956805076182252</v>
      </c>
      <c r="CA83" s="10">
        <v>229</v>
      </c>
      <c r="CB83" s="14">
        <v>0.047382578108835095</v>
      </c>
      <c r="CC83" s="56"/>
    </row>
    <row r="84" spans="1:81" ht="12.75">
      <c r="A84" s="8" t="s">
        <v>85</v>
      </c>
      <c r="B84" s="8"/>
      <c r="C84" s="8"/>
      <c r="D84" s="9">
        <v>693388.76</v>
      </c>
      <c r="E84" s="14">
        <f t="shared" si="12"/>
        <v>0.026948972060658535</v>
      </c>
      <c r="F84" s="10">
        <v>55</v>
      </c>
      <c r="G84" s="14">
        <f t="shared" si="13"/>
        <v>0.029601722282023683</v>
      </c>
      <c r="H84" s="8"/>
      <c r="I84" s="8"/>
      <c r="J84" s="9">
        <v>576578.07</v>
      </c>
      <c r="K84" s="14">
        <f t="shared" si="14"/>
        <v>0.023576069368798934</v>
      </c>
      <c r="L84" s="10">
        <v>46</v>
      </c>
      <c r="M84" s="14">
        <f t="shared" si="15"/>
        <v>0.025712688652878703</v>
      </c>
      <c r="N84" s="56"/>
      <c r="O84" s="55"/>
      <c r="P84" s="14">
        <v>0.025712688652878703</v>
      </c>
      <c r="Q84" s="9">
        <v>1517792.35</v>
      </c>
      <c r="R84" s="14">
        <v>0.025725779648427892</v>
      </c>
      <c r="S84" s="10">
        <v>115</v>
      </c>
      <c r="T84" s="14">
        <v>0.027413587604290822</v>
      </c>
      <c r="U84" s="56"/>
      <c r="V84" s="9">
        <v>1010560.41</v>
      </c>
      <c r="W84" s="14">
        <v>0.015980962735204975</v>
      </c>
      <c r="X84" s="10">
        <v>74</v>
      </c>
      <c r="Y84" s="14">
        <v>0.016795279164775308</v>
      </c>
      <c r="Z84" s="56"/>
      <c r="AA84" s="9">
        <v>697799.29</v>
      </c>
      <c r="AB84" s="14">
        <v>0.010800246158445574</v>
      </c>
      <c r="AC84" s="10">
        <v>49</v>
      </c>
      <c r="AD84" s="14">
        <v>0.010954616588419406</v>
      </c>
      <c r="AE84" s="56"/>
      <c r="AF84" s="9">
        <v>374675.71</v>
      </c>
      <c r="AG84" s="14">
        <v>0.00670137092692319</v>
      </c>
      <c r="AH84" s="10">
        <v>28</v>
      </c>
      <c r="AI84" s="14">
        <v>0.006980802792321117</v>
      </c>
      <c r="AJ84" s="56"/>
      <c r="AK84" s="9">
        <v>228685.79</v>
      </c>
      <c r="AL84" s="14">
        <v>0.004971405097745938</v>
      </c>
      <c r="AM84" s="10">
        <v>17</v>
      </c>
      <c r="AN84" s="14">
        <v>0.004876649454962708</v>
      </c>
      <c r="AO84" s="56"/>
      <c r="AP84" s="9">
        <v>1658068.95</v>
      </c>
      <c r="AQ84" s="14">
        <v>0.022748174112890047</v>
      </c>
      <c r="AR84" s="10">
        <v>102</v>
      </c>
      <c r="AS84" s="14">
        <v>0.022636484687083888</v>
      </c>
      <c r="AT84" s="56"/>
      <c r="AU84" s="9">
        <v>2648542.41</v>
      </c>
      <c r="AV84" s="14">
        <v>0.040003495734497026</v>
      </c>
      <c r="AW84" s="10">
        <v>180</v>
      </c>
      <c r="AX84" s="14">
        <v>0.046620046620046623</v>
      </c>
      <c r="AY84" s="56"/>
      <c r="AZ84" s="9">
        <v>4446918.82</v>
      </c>
      <c r="BA84" s="14">
        <v>0.06829514390731399</v>
      </c>
      <c r="BB84" s="10">
        <v>308</v>
      </c>
      <c r="BC84" s="14">
        <v>0.08337845154304277</v>
      </c>
      <c r="BD84" s="56"/>
      <c r="BE84" s="9">
        <v>5194791.68</v>
      </c>
      <c r="BF84" s="14">
        <v>0.05770328436133933</v>
      </c>
      <c r="BG84" s="10">
        <v>346</v>
      </c>
      <c r="BH84" s="14">
        <v>0.07490798874215199</v>
      </c>
      <c r="BI84" s="56"/>
      <c r="BJ84" s="9">
        <v>4630413.09</v>
      </c>
      <c r="BK84" s="14">
        <v>0.04859184893328665</v>
      </c>
      <c r="BL84" s="10">
        <v>314</v>
      </c>
      <c r="BM84" s="14">
        <v>0.06651133234484219</v>
      </c>
      <c r="BN84" s="56"/>
      <c r="BO84" s="9">
        <v>3418587.85</v>
      </c>
      <c r="BP84" s="14">
        <v>0.03456917705152507</v>
      </c>
      <c r="BQ84" s="10">
        <v>218</v>
      </c>
      <c r="BR84" s="14">
        <v>0.04583683767872161</v>
      </c>
      <c r="BS84" s="56"/>
      <c r="BT84" s="9">
        <v>2133659.98</v>
      </c>
      <c r="BU84" s="14">
        <v>0.020729238300116175</v>
      </c>
      <c r="BV84" s="10">
        <v>127</v>
      </c>
      <c r="BW84" s="14">
        <v>0.02656348044342188</v>
      </c>
      <c r="BX84" s="56"/>
      <c r="BY84" s="9">
        <v>3297865.66</v>
      </c>
      <c r="BZ84" s="14">
        <v>0.03054264439495419</v>
      </c>
      <c r="CA84" s="10">
        <v>168</v>
      </c>
      <c r="CB84" s="14">
        <v>0.03476101800124146</v>
      </c>
      <c r="CC84" s="56"/>
    </row>
    <row r="85" spans="1:81" ht="12.75">
      <c r="A85" s="8" t="s">
        <v>86</v>
      </c>
      <c r="B85" s="8"/>
      <c r="C85" s="8"/>
      <c r="D85" s="9">
        <v>160167.79</v>
      </c>
      <c r="E85" s="14">
        <f t="shared" si="12"/>
        <v>0.006225017690981064</v>
      </c>
      <c r="F85" s="10">
        <v>10</v>
      </c>
      <c r="G85" s="14">
        <f t="shared" si="13"/>
        <v>0.005382131324004306</v>
      </c>
      <c r="H85" s="8"/>
      <c r="I85" s="8"/>
      <c r="J85" s="9">
        <v>158528.48</v>
      </c>
      <c r="K85" s="14">
        <f t="shared" si="14"/>
        <v>0.006482172381981602</v>
      </c>
      <c r="L85" s="10">
        <v>10</v>
      </c>
      <c r="M85" s="14">
        <f t="shared" si="15"/>
        <v>0.005589714924538848</v>
      </c>
      <c r="N85" s="56"/>
      <c r="O85" s="55"/>
      <c r="P85" s="14">
        <v>0.005589714924538848</v>
      </c>
      <c r="Q85" s="9">
        <v>258456.81</v>
      </c>
      <c r="R85" s="14">
        <v>0.004380706585255617</v>
      </c>
      <c r="S85" s="10">
        <v>16</v>
      </c>
      <c r="T85" s="14">
        <v>0.0038140643623361145</v>
      </c>
      <c r="U85" s="56"/>
      <c r="V85" s="9">
        <v>1701264.83</v>
      </c>
      <c r="W85" s="14">
        <v>0.026903735374854847</v>
      </c>
      <c r="X85" s="10">
        <v>106</v>
      </c>
      <c r="Y85" s="14">
        <v>0.024058102587380843</v>
      </c>
      <c r="Z85" s="56"/>
      <c r="AA85" s="9">
        <v>4540285.29</v>
      </c>
      <c r="AB85" s="14">
        <v>0.07027264066372073</v>
      </c>
      <c r="AC85" s="10">
        <v>294</v>
      </c>
      <c r="AD85" s="14">
        <v>0.06572769953051644</v>
      </c>
      <c r="AE85" s="56"/>
      <c r="AF85" s="9">
        <v>8422027.390000006</v>
      </c>
      <c r="AG85" s="14">
        <v>0.15063461011949997</v>
      </c>
      <c r="AH85" s="10">
        <v>547</v>
      </c>
      <c r="AI85" s="14">
        <v>0.13637496883570183</v>
      </c>
      <c r="AJ85" s="56"/>
      <c r="AK85" s="9">
        <v>9139964.799999999</v>
      </c>
      <c r="AL85" s="14">
        <v>0.1986938829908864</v>
      </c>
      <c r="AM85" s="10">
        <v>585</v>
      </c>
      <c r="AN85" s="14">
        <v>0.16781411359724613</v>
      </c>
      <c r="AO85" s="56"/>
      <c r="AP85" s="9">
        <v>8555686.629999995</v>
      </c>
      <c r="AQ85" s="14">
        <v>0.11738127604076139</v>
      </c>
      <c r="AR85" s="10">
        <v>556</v>
      </c>
      <c r="AS85" s="14">
        <v>0.12339103417665336</v>
      </c>
      <c r="AT85" s="56"/>
      <c r="AU85" s="9">
        <v>6087877.130000001</v>
      </c>
      <c r="AV85" s="14">
        <v>0.09195109199784243</v>
      </c>
      <c r="AW85" s="10">
        <v>388</v>
      </c>
      <c r="AX85" s="14">
        <v>0.10049210049210049</v>
      </c>
      <c r="AY85" s="56"/>
      <c r="AZ85" s="9">
        <v>3157855.52</v>
      </c>
      <c r="BA85" s="14">
        <v>0.048497893914084524</v>
      </c>
      <c r="BB85" s="10">
        <v>182</v>
      </c>
      <c r="BC85" s="14">
        <v>0.049269085002707096</v>
      </c>
      <c r="BD85" s="56"/>
      <c r="BE85" s="9">
        <v>6051245.06</v>
      </c>
      <c r="BF85" s="14">
        <v>0.06721669240013296</v>
      </c>
      <c r="BG85" s="10">
        <v>302</v>
      </c>
      <c r="BH85" s="14">
        <v>0.06538211734141589</v>
      </c>
      <c r="BI85" s="56"/>
      <c r="BJ85" s="9">
        <v>6236283.359999998</v>
      </c>
      <c r="BK85" s="14">
        <v>0.06544395349709267</v>
      </c>
      <c r="BL85" s="10">
        <v>292</v>
      </c>
      <c r="BM85" s="14">
        <v>0.06185130269010803</v>
      </c>
      <c r="BN85" s="56"/>
      <c r="BO85" s="9">
        <v>9369736.419999987</v>
      </c>
      <c r="BP85" s="14">
        <v>0.09474791681281555</v>
      </c>
      <c r="BQ85" s="10">
        <v>448</v>
      </c>
      <c r="BR85" s="14">
        <v>0.0941968040370059</v>
      </c>
      <c r="BS85" s="56"/>
      <c r="BT85" s="9">
        <v>9990277.849999987</v>
      </c>
      <c r="BU85" s="14">
        <v>0.09705897480301522</v>
      </c>
      <c r="BV85" s="10">
        <v>467</v>
      </c>
      <c r="BW85" s="14">
        <v>0.09767830997699226</v>
      </c>
      <c r="BX85" s="56"/>
      <c r="BY85" s="9">
        <v>8511809.22</v>
      </c>
      <c r="BZ85" s="14">
        <v>0.0788307314386337</v>
      </c>
      <c r="CA85" s="10">
        <v>402</v>
      </c>
      <c r="CB85" s="14">
        <v>0.08317815021725636</v>
      </c>
      <c r="CC85" s="56"/>
    </row>
    <row r="86" spans="1:81" ht="12.75">
      <c r="A86" s="8" t="s">
        <v>87</v>
      </c>
      <c r="B86" s="8"/>
      <c r="C86" s="8"/>
      <c r="D86" s="9">
        <v>6935248.180000001</v>
      </c>
      <c r="E86" s="14">
        <f t="shared" si="12"/>
        <v>0.26954260036830274</v>
      </c>
      <c r="F86" s="10">
        <v>432</v>
      </c>
      <c r="G86" s="14">
        <f t="shared" si="13"/>
        <v>0.232508073196986</v>
      </c>
      <c r="H86" s="8"/>
      <c r="I86" s="8"/>
      <c r="J86" s="9">
        <v>6643805.229999997</v>
      </c>
      <c r="K86" s="14">
        <f t="shared" si="14"/>
        <v>0.27166280010488275</v>
      </c>
      <c r="L86" s="10">
        <v>415</v>
      </c>
      <c r="M86" s="14">
        <f t="shared" si="15"/>
        <v>0.2319731693683622</v>
      </c>
      <c r="N86" s="56"/>
      <c r="O86" s="55"/>
      <c r="P86" s="14">
        <v>0.2319731693683622</v>
      </c>
      <c r="Q86" s="9">
        <v>15908168.860000001</v>
      </c>
      <c r="R86" s="14">
        <v>0.2696350701084655</v>
      </c>
      <c r="S86" s="10">
        <v>970</v>
      </c>
      <c r="T86" s="14">
        <v>0.23122765196662692</v>
      </c>
      <c r="U86" s="56"/>
      <c r="V86" s="9">
        <v>15314534.409999996</v>
      </c>
      <c r="W86" s="14">
        <v>0.242183447215416</v>
      </c>
      <c r="X86" s="10">
        <v>929</v>
      </c>
      <c r="Y86" s="14">
        <v>0.21084884248751704</v>
      </c>
      <c r="Z86" s="56"/>
      <c r="AA86" s="9">
        <v>12672252.040000007</v>
      </c>
      <c r="AB86" s="14">
        <v>0.1961358278450873</v>
      </c>
      <c r="AC86" s="10">
        <v>748</v>
      </c>
      <c r="AD86" s="14">
        <v>0.1672255756762799</v>
      </c>
      <c r="AE86" s="56"/>
      <c r="AF86" s="9">
        <v>6268107.259999996</v>
      </c>
      <c r="AG86" s="14">
        <v>0.11211004780373979</v>
      </c>
      <c r="AH86" s="10">
        <v>357</v>
      </c>
      <c r="AI86" s="14">
        <v>0.08900523560209424</v>
      </c>
      <c r="AJ86" s="56"/>
      <c r="AK86" s="9">
        <v>2986123.83</v>
      </c>
      <c r="AL86" s="14">
        <v>0.06491540742851847</v>
      </c>
      <c r="AM86" s="10">
        <v>169</v>
      </c>
      <c r="AN86" s="14">
        <v>0.04847963281698221</v>
      </c>
      <c r="AO86" s="56"/>
      <c r="AP86" s="9">
        <v>8258465.46</v>
      </c>
      <c r="AQ86" s="14">
        <v>0.11330349693199948</v>
      </c>
      <c r="AR86" s="10">
        <v>394</v>
      </c>
      <c r="AS86" s="14">
        <v>0.08743897026187306</v>
      </c>
      <c r="AT86" s="56"/>
      <c r="AU86" s="9">
        <v>7977358.900000001</v>
      </c>
      <c r="AV86" s="14">
        <v>0.12048976128296254</v>
      </c>
      <c r="AW86" s="10">
        <v>376</v>
      </c>
      <c r="AX86" s="14">
        <v>0.09738409738409738</v>
      </c>
      <c r="AY86" s="56"/>
      <c r="AZ86" s="9">
        <v>8969223.809999997</v>
      </c>
      <c r="BA86" s="14">
        <v>0.13774805784308358</v>
      </c>
      <c r="BB86" s="10">
        <v>429</v>
      </c>
      <c r="BC86" s="14">
        <v>0.11613427179209529</v>
      </c>
      <c r="BD86" s="56"/>
      <c r="BE86" s="9">
        <v>11456343.590000002</v>
      </c>
      <c r="BF86" s="14">
        <v>0.12725604656296388</v>
      </c>
      <c r="BG86" s="10">
        <v>547</v>
      </c>
      <c r="BH86" s="14">
        <v>0.11842390127733275</v>
      </c>
      <c r="BI86" s="56"/>
      <c r="BJ86" s="9">
        <v>12121812.820000015</v>
      </c>
      <c r="BK86" s="14">
        <v>0.12720707329959155</v>
      </c>
      <c r="BL86" s="10">
        <v>568</v>
      </c>
      <c r="BM86" s="14">
        <v>0.12031349290404575</v>
      </c>
      <c r="BN86" s="56"/>
      <c r="BO86" s="9">
        <v>10057432.889999995</v>
      </c>
      <c r="BP86" s="14">
        <v>0.10170198734493281</v>
      </c>
      <c r="BQ86" s="10">
        <v>460</v>
      </c>
      <c r="BR86" s="14">
        <v>0.09671993271656855</v>
      </c>
      <c r="BS86" s="56"/>
      <c r="BT86" s="9">
        <v>9664434.179999998</v>
      </c>
      <c r="BU86" s="14">
        <v>0.09389329182291162</v>
      </c>
      <c r="BV86" s="10">
        <v>451</v>
      </c>
      <c r="BW86" s="14">
        <v>0.09433172976364777</v>
      </c>
      <c r="BX86" s="56"/>
      <c r="BY86" s="9">
        <v>9850432.77</v>
      </c>
      <c r="BZ86" s="14">
        <v>0.09122817490100966</v>
      </c>
      <c r="CA86" s="10">
        <v>443</v>
      </c>
      <c r="CB86" s="14">
        <v>0.09166149389613076</v>
      </c>
      <c r="CC86" s="56"/>
    </row>
    <row r="87" spans="1:81" ht="12.75">
      <c r="A87" s="8" t="s">
        <v>6</v>
      </c>
      <c r="B87" s="8"/>
      <c r="C87" s="8"/>
      <c r="D87" s="9">
        <f>5075348.75-23229.83</f>
        <v>5052118.92</v>
      </c>
      <c r="E87" s="14">
        <f t="shared" si="12"/>
        <v>0.1963536467222289</v>
      </c>
      <c r="F87" s="10">
        <v>252</v>
      </c>
      <c r="G87" s="14">
        <f t="shared" si="13"/>
        <v>0.1356297093649085</v>
      </c>
      <c r="H87" s="8"/>
      <c r="I87" s="8"/>
      <c r="J87" s="9">
        <v>4868624.64</v>
      </c>
      <c r="K87" s="14">
        <f t="shared" si="14"/>
        <v>0.19907630590820727</v>
      </c>
      <c r="L87" s="10">
        <v>245</v>
      </c>
      <c r="M87" s="14">
        <f t="shared" si="15"/>
        <v>0.1369480156512018</v>
      </c>
      <c r="N87" s="56"/>
      <c r="O87" s="55"/>
      <c r="P87" s="14">
        <v>0.1369480156512018</v>
      </c>
      <c r="Q87" s="9">
        <v>12375372.169999985</v>
      </c>
      <c r="R87" s="14">
        <v>0.2097560298763574</v>
      </c>
      <c r="S87" s="10">
        <v>581</v>
      </c>
      <c r="T87" s="14">
        <v>0.13849821215733016</v>
      </c>
      <c r="U87" s="56"/>
      <c r="V87" s="9">
        <v>13580306.340000013</v>
      </c>
      <c r="W87" s="14">
        <v>0.21475843245453083</v>
      </c>
      <c r="X87" s="10">
        <v>625</v>
      </c>
      <c r="Y87" s="14">
        <v>0.14185201997276442</v>
      </c>
      <c r="Z87" s="56"/>
      <c r="AA87" s="9">
        <v>14667477.100000003</v>
      </c>
      <c r="AB87" s="14">
        <v>0.22701708854327357</v>
      </c>
      <c r="AC87" s="10">
        <v>665</v>
      </c>
      <c r="AD87" s="14">
        <v>0.1486697965571205</v>
      </c>
      <c r="AE87" s="56"/>
      <c r="AF87" s="9">
        <v>12849392.399999999</v>
      </c>
      <c r="AG87" s="14">
        <v>0.22982152928458527</v>
      </c>
      <c r="AH87" s="10">
        <v>582</v>
      </c>
      <c r="AI87" s="14">
        <v>0.14510097232610322</v>
      </c>
      <c r="AJ87" s="56"/>
      <c r="AK87" s="9">
        <v>10445122.66</v>
      </c>
      <c r="AL87" s="14">
        <v>0.22706673658431337</v>
      </c>
      <c r="AM87" s="10">
        <v>472</v>
      </c>
      <c r="AN87" s="14">
        <v>0.13539873780837636</v>
      </c>
      <c r="AO87" s="56"/>
      <c r="AP87" s="9">
        <v>17834404.880000006</v>
      </c>
      <c r="AQ87" s="14">
        <v>0.24468231397133158</v>
      </c>
      <c r="AR87" s="10">
        <v>735</v>
      </c>
      <c r="AS87" s="14">
        <v>0.16311584553928096</v>
      </c>
      <c r="AT87" s="56"/>
      <c r="AU87" s="9">
        <v>16480184.230000004</v>
      </c>
      <c r="AV87" s="14">
        <v>0.24891614990168537</v>
      </c>
      <c r="AW87" s="10">
        <v>666</v>
      </c>
      <c r="AX87" s="14">
        <v>0.17249417249417248</v>
      </c>
      <c r="AY87" s="56"/>
      <c r="AZ87" s="9">
        <v>16327201.639999997</v>
      </c>
      <c r="BA87" s="14">
        <v>0.25075083012366145</v>
      </c>
      <c r="BB87" s="10">
        <v>645</v>
      </c>
      <c r="BC87" s="14">
        <v>0.1746074715755279</v>
      </c>
      <c r="BD87" s="56"/>
      <c r="BE87" s="9">
        <v>22653472.090000037</v>
      </c>
      <c r="BF87" s="14">
        <v>0.2516327549406055</v>
      </c>
      <c r="BG87" s="10">
        <v>870</v>
      </c>
      <c r="BH87" s="14">
        <v>0.18835245724182723</v>
      </c>
      <c r="BI87" s="56"/>
      <c r="BJ87" s="9">
        <v>24434056.340000015</v>
      </c>
      <c r="BK87" s="14">
        <v>0.25641253845468365</v>
      </c>
      <c r="BL87" s="10">
        <v>938</v>
      </c>
      <c r="BM87" s="14">
        <v>0.198686718915484</v>
      </c>
      <c r="BN87" s="56"/>
      <c r="BO87" s="9">
        <v>25298140.480000027</v>
      </c>
      <c r="BP87" s="14">
        <v>0.2558178802769318</v>
      </c>
      <c r="BQ87" s="10">
        <v>970</v>
      </c>
      <c r="BR87" s="14">
        <v>0.2039529015979815</v>
      </c>
      <c r="BS87" s="56"/>
      <c r="BT87" s="9">
        <v>26826321.379999995</v>
      </c>
      <c r="BU87" s="14">
        <v>0.2606269104796731</v>
      </c>
      <c r="BV87" s="10">
        <v>1001</v>
      </c>
      <c r="BW87" s="14">
        <v>0.20937042459736457</v>
      </c>
      <c r="BX87" s="56"/>
      <c r="BY87" s="9">
        <v>27900523.870000005</v>
      </c>
      <c r="BZ87" s="14">
        <v>0.2583961467352013</v>
      </c>
      <c r="CA87" s="10">
        <v>1023</v>
      </c>
      <c r="CB87" s="14">
        <v>0.2116697703289882</v>
      </c>
      <c r="CC87" s="56"/>
    </row>
    <row r="88" spans="1:81" ht="12.75">
      <c r="A88" s="8" t="s">
        <v>7</v>
      </c>
      <c r="B88" s="8"/>
      <c r="C88" s="8"/>
      <c r="D88" s="9">
        <v>3127872.47</v>
      </c>
      <c r="E88" s="14">
        <f t="shared" si="12"/>
        <v>0.12156664870560205</v>
      </c>
      <c r="F88" s="10">
        <v>133</v>
      </c>
      <c r="G88" s="14">
        <f t="shared" si="13"/>
        <v>0.07158234660925726</v>
      </c>
      <c r="H88" s="8"/>
      <c r="I88" s="8"/>
      <c r="J88" s="9">
        <v>3024520.45</v>
      </c>
      <c r="K88" s="14">
        <f t="shared" si="14"/>
        <v>0.12367155056131597</v>
      </c>
      <c r="L88" s="10">
        <v>130</v>
      </c>
      <c r="M88" s="14">
        <f t="shared" si="15"/>
        <v>0.07266629401900503</v>
      </c>
      <c r="N88" s="56"/>
      <c r="O88" s="55"/>
      <c r="P88" s="14">
        <v>0.07266629401900503</v>
      </c>
      <c r="Q88" s="9">
        <v>6962187.530000002</v>
      </c>
      <c r="R88" s="14">
        <v>0.11800540585661314</v>
      </c>
      <c r="S88" s="10">
        <v>290</v>
      </c>
      <c r="T88" s="14">
        <v>0.06912991656734208</v>
      </c>
      <c r="U88" s="56"/>
      <c r="V88" s="9">
        <v>8186013.240000003</v>
      </c>
      <c r="W88" s="14">
        <v>0.1294532926916606</v>
      </c>
      <c r="X88" s="10">
        <v>329</v>
      </c>
      <c r="Y88" s="14">
        <v>0.07467090331366319</v>
      </c>
      <c r="Z88" s="56"/>
      <c r="AA88" s="9">
        <v>8706443.700000005</v>
      </c>
      <c r="AB88" s="14">
        <v>0.13475470163440223</v>
      </c>
      <c r="AC88" s="10">
        <v>341</v>
      </c>
      <c r="AD88" s="14">
        <v>0.07623518891124526</v>
      </c>
      <c r="AE88" s="56"/>
      <c r="AF88" s="9">
        <v>7953862.98</v>
      </c>
      <c r="AG88" s="14">
        <v>0.14226111997199564</v>
      </c>
      <c r="AH88" s="10">
        <v>314</v>
      </c>
      <c r="AI88" s="14">
        <v>0.07828471702817252</v>
      </c>
      <c r="AJ88" s="56"/>
      <c r="AK88" s="9">
        <v>6219940.019999999</v>
      </c>
      <c r="AL88" s="14">
        <v>0.13521540417138275</v>
      </c>
      <c r="AM88" s="10">
        <v>248</v>
      </c>
      <c r="AN88" s="14">
        <v>0.07114170969592656</v>
      </c>
      <c r="AO88" s="56"/>
      <c r="AP88" s="9">
        <v>10953181.97</v>
      </c>
      <c r="AQ88" s="14">
        <v>0.1502741430286889</v>
      </c>
      <c r="AR88" s="10">
        <v>376</v>
      </c>
      <c r="AS88" s="14">
        <v>0.08344429649356414</v>
      </c>
      <c r="AT88" s="56"/>
      <c r="AU88" s="9">
        <v>10042145.530000003</v>
      </c>
      <c r="AV88" s="14">
        <v>0.15167622929419278</v>
      </c>
      <c r="AW88" s="10">
        <v>333</v>
      </c>
      <c r="AX88" s="14">
        <v>0.08624708624708624</v>
      </c>
      <c r="AY88" s="56"/>
      <c r="AZ88" s="9">
        <v>9762467.160000002</v>
      </c>
      <c r="BA88" s="14">
        <v>0.1499305758818928</v>
      </c>
      <c r="BB88" s="10">
        <v>315</v>
      </c>
      <c r="BC88" s="14">
        <v>0.0852734163508392</v>
      </c>
      <c r="BD88" s="56"/>
      <c r="BE88" s="9">
        <v>13149372.200000001</v>
      </c>
      <c r="BF88" s="14">
        <v>0.14606205791676527</v>
      </c>
      <c r="BG88" s="10">
        <v>414</v>
      </c>
      <c r="BH88" s="14">
        <v>0.08962978999783502</v>
      </c>
      <c r="BI88" s="56"/>
      <c r="BJ88" s="9">
        <v>14203694.039999984</v>
      </c>
      <c r="BK88" s="14">
        <v>0.14905446699277175</v>
      </c>
      <c r="BL88" s="10">
        <v>435</v>
      </c>
      <c r="BM88" s="14">
        <v>0.09214149544588011</v>
      </c>
      <c r="BN88" s="56"/>
      <c r="BO88" s="9">
        <v>15653079.619999997</v>
      </c>
      <c r="BP88" s="14">
        <v>0.15828584916587657</v>
      </c>
      <c r="BQ88" s="10">
        <v>484</v>
      </c>
      <c r="BR88" s="14">
        <v>0.10176619007569386</v>
      </c>
      <c r="BS88" s="56"/>
      <c r="BT88" s="9">
        <v>16674409.790000008</v>
      </c>
      <c r="BU88" s="14">
        <v>0.16199760847119615</v>
      </c>
      <c r="BV88" s="10">
        <v>508</v>
      </c>
      <c r="BW88" s="14">
        <v>0.10625392177368752</v>
      </c>
      <c r="BX88" s="56"/>
      <c r="BY88" s="9">
        <v>18039380.87999999</v>
      </c>
      <c r="BZ88" s="14">
        <v>0.1670687808802302</v>
      </c>
      <c r="CA88" s="10">
        <v>544</v>
      </c>
      <c r="CB88" s="14">
        <v>0.11255948686116284</v>
      </c>
      <c r="CC88" s="56"/>
    </row>
    <row r="89" spans="1:81" ht="12.75">
      <c r="A89" s="8" t="s">
        <v>8</v>
      </c>
      <c r="B89" s="8"/>
      <c r="C89" s="8"/>
      <c r="D89" s="9">
        <v>1834050.33</v>
      </c>
      <c r="E89" s="14">
        <f t="shared" si="12"/>
        <v>0.07128147145190465</v>
      </c>
      <c r="F89" s="10">
        <v>75</v>
      </c>
      <c r="G89" s="14">
        <f t="shared" si="13"/>
        <v>0.040365984930032295</v>
      </c>
      <c r="H89" s="8"/>
      <c r="I89" s="8"/>
      <c r="J89" s="9">
        <v>1756341.77</v>
      </c>
      <c r="K89" s="14">
        <f t="shared" si="14"/>
        <v>0.0718161816401361</v>
      </c>
      <c r="L89" s="10">
        <v>73</v>
      </c>
      <c r="M89" s="14">
        <f t="shared" si="15"/>
        <v>0.040804918949133594</v>
      </c>
      <c r="N89" s="56"/>
      <c r="O89" s="55"/>
      <c r="P89" s="14">
        <v>0.040804918949133594</v>
      </c>
      <c r="Q89" s="9">
        <v>4608320.84</v>
      </c>
      <c r="R89" s="14">
        <v>0.07810860720117492</v>
      </c>
      <c r="S89" s="10">
        <v>182</v>
      </c>
      <c r="T89" s="14">
        <v>0.0433849821215733</v>
      </c>
      <c r="U89" s="56"/>
      <c r="V89" s="9">
        <v>5753595.960000002</v>
      </c>
      <c r="W89" s="14">
        <v>0.09098714111528065</v>
      </c>
      <c r="X89" s="10">
        <v>219</v>
      </c>
      <c r="Y89" s="14">
        <v>0.04970494779845665</v>
      </c>
      <c r="Z89" s="56"/>
      <c r="AA89" s="9">
        <v>6175459.85</v>
      </c>
      <c r="AB89" s="14">
        <v>0.09558119000321334</v>
      </c>
      <c r="AC89" s="10">
        <v>243</v>
      </c>
      <c r="AD89" s="14">
        <v>0.05432595573440644</v>
      </c>
      <c r="AE89" s="56"/>
      <c r="AF89" s="9">
        <v>5301080.41</v>
      </c>
      <c r="AG89" s="14">
        <v>0.09481400900222768</v>
      </c>
      <c r="AH89" s="10">
        <v>208</v>
      </c>
      <c r="AI89" s="14">
        <v>0.051857392171528294</v>
      </c>
      <c r="AJ89" s="56"/>
      <c r="AK89" s="9">
        <v>4498216.56</v>
      </c>
      <c r="AL89" s="14">
        <v>0.09778682242193183</v>
      </c>
      <c r="AM89" s="10">
        <v>180</v>
      </c>
      <c r="AN89" s="14">
        <v>0.05163511187607573</v>
      </c>
      <c r="AO89" s="56"/>
      <c r="AP89" s="9">
        <v>11817644.590000011</v>
      </c>
      <c r="AQ89" s="14">
        <v>0.16213429286977082</v>
      </c>
      <c r="AR89" s="10">
        <v>381</v>
      </c>
      <c r="AS89" s="14">
        <v>0.08455392809587217</v>
      </c>
      <c r="AT89" s="56"/>
      <c r="AU89" s="9">
        <v>11020533.459999993</v>
      </c>
      <c r="AV89" s="14">
        <v>0.16645376777598664</v>
      </c>
      <c r="AW89" s="10">
        <v>342</v>
      </c>
      <c r="AX89" s="14">
        <v>0.08857808857808858</v>
      </c>
      <c r="AY89" s="56"/>
      <c r="AZ89" s="9">
        <v>11706255.170000004</v>
      </c>
      <c r="BA89" s="14">
        <v>0.17978299443093698</v>
      </c>
      <c r="BB89" s="10">
        <v>352</v>
      </c>
      <c r="BC89" s="14">
        <v>0.09528965890633459</v>
      </c>
      <c r="BD89" s="56"/>
      <c r="BE89" s="9">
        <v>19323003.520000003</v>
      </c>
      <c r="BF89" s="14">
        <v>0.2146382060174781</v>
      </c>
      <c r="BG89" s="10">
        <v>572</v>
      </c>
      <c r="BH89" s="14">
        <v>0.12383632820956918</v>
      </c>
      <c r="BI89" s="56"/>
      <c r="BJ89" s="9">
        <v>21956441.78000003</v>
      </c>
      <c r="BK89" s="14">
        <v>0.2304122939679805</v>
      </c>
      <c r="BL89" s="10">
        <v>651</v>
      </c>
      <c r="BM89" s="14">
        <v>0.1378945138741792</v>
      </c>
      <c r="BN89" s="56"/>
      <c r="BO89" s="9">
        <v>24106347.139999993</v>
      </c>
      <c r="BP89" s="14">
        <v>0.24376632074796153</v>
      </c>
      <c r="BQ89" s="10">
        <v>714</v>
      </c>
      <c r="BR89" s="14">
        <v>0.15012615643397814</v>
      </c>
      <c r="BS89" s="56"/>
      <c r="BT89" s="9">
        <v>26324691.78</v>
      </c>
      <c r="BU89" s="14">
        <v>0.2557534069157211</v>
      </c>
      <c r="BV89" s="10">
        <v>776</v>
      </c>
      <c r="BW89" s="14">
        <v>0.1623091403472077</v>
      </c>
      <c r="BX89" s="56"/>
      <c r="BY89" s="9">
        <v>29474999.13999998</v>
      </c>
      <c r="BZ89" s="14">
        <v>0.2729778923968056</v>
      </c>
      <c r="CA89" s="10">
        <v>853</v>
      </c>
      <c r="CB89" s="14">
        <v>0.17649493068487482</v>
      </c>
      <c r="CC89" s="56"/>
    </row>
    <row r="90" spans="1:81" ht="12.75">
      <c r="A90" s="8" t="s">
        <v>9</v>
      </c>
      <c r="B90" s="8"/>
      <c r="C90" s="8"/>
      <c r="D90" s="9">
        <v>0</v>
      </c>
      <c r="E90" s="14">
        <f t="shared" si="12"/>
        <v>0</v>
      </c>
      <c r="F90" s="10">
        <v>0</v>
      </c>
      <c r="G90" s="14">
        <f t="shared" si="13"/>
        <v>0</v>
      </c>
      <c r="H90" s="8"/>
      <c r="I90" s="8"/>
      <c r="J90" s="9">
        <v>0</v>
      </c>
      <c r="K90" s="14">
        <f t="shared" si="14"/>
        <v>0</v>
      </c>
      <c r="L90" s="10">
        <v>0</v>
      </c>
      <c r="M90" s="14">
        <f t="shared" si="15"/>
        <v>0</v>
      </c>
      <c r="N90" s="56"/>
      <c r="O90" s="55"/>
      <c r="P90" s="14">
        <v>0</v>
      </c>
      <c r="Q90" s="9">
        <v>0</v>
      </c>
      <c r="R90" s="14">
        <v>0</v>
      </c>
      <c r="S90" s="10">
        <v>0</v>
      </c>
      <c r="T90" s="14">
        <v>0</v>
      </c>
      <c r="U90" s="56"/>
      <c r="V90" s="9">
        <v>0</v>
      </c>
      <c r="W90" s="14">
        <v>0</v>
      </c>
      <c r="X90" s="10">
        <v>0</v>
      </c>
      <c r="Y90" s="14">
        <v>0</v>
      </c>
      <c r="Z90" s="56"/>
      <c r="AA90" s="9">
        <v>0</v>
      </c>
      <c r="AB90" s="14">
        <v>0</v>
      </c>
      <c r="AC90" s="10">
        <v>0</v>
      </c>
      <c r="AD90" s="14">
        <v>0</v>
      </c>
      <c r="AE90" s="56"/>
      <c r="AF90" s="9">
        <v>0</v>
      </c>
      <c r="AG90" s="14">
        <v>0</v>
      </c>
      <c r="AH90" s="10">
        <v>0</v>
      </c>
      <c r="AI90" s="14">
        <v>0</v>
      </c>
      <c r="AJ90" s="56"/>
      <c r="AK90" s="9">
        <v>0</v>
      </c>
      <c r="AL90" s="14">
        <v>0</v>
      </c>
      <c r="AM90" s="10">
        <v>0</v>
      </c>
      <c r="AN90" s="14">
        <v>0</v>
      </c>
      <c r="AO90" s="56"/>
      <c r="AP90" s="9">
        <v>0</v>
      </c>
      <c r="AQ90" s="14">
        <v>0</v>
      </c>
      <c r="AR90" s="10">
        <v>0</v>
      </c>
      <c r="AS90" s="14">
        <v>0</v>
      </c>
      <c r="AT90" s="56"/>
      <c r="AU90" s="9">
        <v>0</v>
      </c>
      <c r="AV90" s="14">
        <v>0</v>
      </c>
      <c r="AW90" s="10">
        <v>0</v>
      </c>
      <c r="AX90" s="14">
        <v>0</v>
      </c>
      <c r="AY90" s="56"/>
      <c r="AZ90" s="9">
        <v>0</v>
      </c>
      <c r="BA90" s="14">
        <v>0</v>
      </c>
      <c r="BB90" s="10">
        <v>0</v>
      </c>
      <c r="BC90" s="14">
        <v>0</v>
      </c>
      <c r="BD90" s="56"/>
      <c r="BE90" s="9">
        <v>0</v>
      </c>
      <c r="BF90" s="14">
        <v>0</v>
      </c>
      <c r="BG90" s="10">
        <v>0</v>
      </c>
      <c r="BH90" s="14">
        <v>0</v>
      </c>
      <c r="BI90" s="56"/>
      <c r="BJ90" s="9">
        <v>0</v>
      </c>
      <c r="BK90" s="14">
        <v>0</v>
      </c>
      <c r="BL90" s="10">
        <v>0</v>
      </c>
      <c r="BM90" s="14">
        <v>0</v>
      </c>
      <c r="BN90" s="56"/>
      <c r="BO90" s="9">
        <v>0</v>
      </c>
      <c r="BP90" s="14">
        <v>0</v>
      </c>
      <c r="BQ90" s="10">
        <v>0</v>
      </c>
      <c r="BR90" s="14">
        <v>0</v>
      </c>
      <c r="BS90" s="56"/>
      <c r="BT90" s="9">
        <v>0</v>
      </c>
      <c r="BU90" s="14">
        <v>0</v>
      </c>
      <c r="BV90" s="10">
        <v>0</v>
      </c>
      <c r="BW90" s="14">
        <v>0</v>
      </c>
      <c r="BX90" s="56"/>
      <c r="BY90" s="9">
        <v>0</v>
      </c>
      <c r="BZ90" s="14">
        <v>0</v>
      </c>
      <c r="CA90" s="10">
        <v>0</v>
      </c>
      <c r="CB90" s="14">
        <v>0</v>
      </c>
      <c r="CC90" s="56"/>
    </row>
    <row r="91" spans="1:81" ht="12.75">
      <c r="A91" s="8"/>
      <c r="B91" s="12"/>
      <c r="C91" s="12"/>
      <c r="D91" s="9"/>
      <c r="E91" s="8"/>
      <c r="F91" s="10"/>
      <c r="G91" s="8"/>
      <c r="H91" s="8"/>
      <c r="I91" s="8"/>
      <c r="J91" s="9"/>
      <c r="K91" s="8"/>
      <c r="L91" s="10"/>
      <c r="M91" s="63"/>
      <c r="N91" s="54"/>
      <c r="O91" s="55"/>
      <c r="P91" s="8"/>
      <c r="Q91" s="9"/>
      <c r="R91" s="8"/>
      <c r="S91" s="10"/>
      <c r="T91" s="63"/>
      <c r="U91" s="54"/>
      <c r="V91" s="9"/>
      <c r="W91" s="8"/>
      <c r="X91" s="10"/>
      <c r="Y91" s="63"/>
      <c r="Z91" s="54"/>
      <c r="AA91" s="9"/>
      <c r="AB91" s="8"/>
      <c r="AC91" s="10"/>
      <c r="AD91" s="63"/>
      <c r="AE91" s="54"/>
      <c r="AF91" s="9"/>
      <c r="AG91" s="8"/>
      <c r="AH91" s="10"/>
      <c r="AI91" s="63"/>
      <c r="AJ91" s="54"/>
      <c r="AK91" s="9"/>
      <c r="AL91" s="8"/>
      <c r="AM91" s="10"/>
      <c r="AN91" s="63"/>
      <c r="AO91" s="54"/>
      <c r="AP91" s="9"/>
      <c r="AQ91" s="8"/>
      <c r="AR91" s="10"/>
      <c r="AS91" s="63"/>
      <c r="AT91" s="54"/>
      <c r="AU91" s="9"/>
      <c r="AV91" s="8"/>
      <c r="AW91" s="10"/>
      <c r="AX91" s="63"/>
      <c r="AY91" s="54"/>
      <c r="AZ91" s="9"/>
      <c r="BA91" s="8"/>
      <c r="BB91" s="10"/>
      <c r="BC91" s="63"/>
      <c r="BD91" s="54"/>
      <c r="BE91" s="9"/>
      <c r="BF91" s="8"/>
      <c r="BG91" s="10"/>
      <c r="BH91" s="63"/>
      <c r="BI91" s="54"/>
      <c r="BJ91" s="9"/>
      <c r="BK91" s="8"/>
      <c r="BL91" s="10"/>
      <c r="BM91" s="63"/>
      <c r="BN91" s="54"/>
      <c r="BO91" s="9"/>
      <c r="BP91" s="8"/>
      <c r="BQ91" s="10"/>
      <c r="BR91" s="63"/>
      <c r="BS91" s="54"/>
      <c r="BT91" s="9"/>
      <c r="BU91" s="8"/>
      <c r="BV91" s="10"/>
      <c r="BW91" s="63"/>
      <c r="BX91" s="54"/>
      <c r="BY91" s="9"/>
      <c r="BZ91" s="8"/>
      <c r="CA91" s="10"/>
      <c r="CB91" s="63"/>
      <c r="CC91" s="54"/>
    </row>
    <row r="92" spans="1:81" ht="13.5" thickBot="1">
      <c r="A92" s="8"/>
      <c r="B92" s="8"/>
      <c r="C92" s="8"/>
      <c r="D92" s="21">
        <f>SUM(D77:D91)</f>
        <v>25729692.340000004</v>
      </c>
      <c r="E92" s="12"/>
      <c r="F92" s="22">
        <f>SUM(F77:F90)</f>
        <v>1858</v>
      </c>
      <c r="G92" s="23"/>
      <c r="H92" s="8"/>
      <c r="I92" s="8"/>
      <c r="J92" s="21">
        <f>SUM(J77:J90)</f>
        <v>24456072.849999987</v>
      </c>
      <c r="K92" s="12"/>
      <c r="L92" s="76">
        <f>SUM(L77:L90)</f>
        <v>1789</v>
      </c>
      <c r="M92" s="30"/>
      <c r="N92" s="53"/>
      <c r="O92" s="31"/>
      <c r="P92" s="23"/>
      <c r="Q92" s="21">
        <f>SUM(Q77:Q90)</f>
        <v>58998886.360000044</v>
      </c>
      <c r="R92" s="12"/>
      <c r="S92" s="76">
        <f>SUM(S77:S90)</f>
        <v>4195</v>
      </c>
      <c r="T92" s="30"/>
      <c r="U92" s="53"/>
      <c r="V92" s="21">
        <f>SUM(V77:V90)</f>
        <v>63235264.78000005</v>
      </c>
      <c r="W92" s="12"/>
      <c r="X92" s="76">
        <f>SUM(X77:X90)</f>
        <v>4406</v>
      </c>
      <c r="Y92" s="30"/>
      <c r="Z92" s="53"/>
      <c r="AA92" s="21">
        <f>SUM(AA77:AA90)</f>
        <v>64609572.76000002</v>
      </c>
      <c r="AB92" s="12"/>
      <c r="AC92" s="76">
        <f>SUM(AC77:AC90)</f>
        <v>4473</v>
      </c>
      <c r="AD92" s="30"/>
      <c r="AE92" s="53"/>
      <c r="AF92" s="21">
        <f>SUM(AF77:AF90)</f>
        <v>55910307.61999999</v>
      </c>
      <c r="AG92" s="12"/>
      <c r="AH92" s="76">
        <f>SUM(AH77:AH90)</f>
        <v>4011</v>
      </c>
      <c r="AI92" s="30"/>
      <c r="AJ92" s="53"/>
      <c r="AK92" s="21">
        <f>SUM(AK77:AK90)</f>
        <v>46000232.42999999</v>
      </c>
      <c r="AL92" s="12"/>
      <c r="AM92" s="76">
        <f>SUM(AM77:AM90)</f>
        <v>3486</v>
      </c>
      <c r="AN92" s="30"/>
      <c r="AO92" s="53"/>
      <c r="AP92" s="21">
        <f>SUM(AP77:AP90)</f>
        <v>72888001.55000001</v>
      </c>
      <c r="AQ92" s="12"/>
      <c r="AR92" s="76">
        <f>SUM(AR77:AR90)</f>
        <v>4506</v>
      </c>
      <c r="AS92" s="30"/>
      <c r="AT92" s="53"/>
      <c r="AU92" s="21">
        <f>SUM(AU77:AU90)</f>
        <v>66207774.129999995</v>
      </c>
      <c r="AV92" s="12"/>
      <c r="AW92" s="76">
        <f>SUM(AW77:AW90)</f>
        <v>3861</v>
      </c>
      <c r="AX92" s="30"/>
      <c r="AY92" s="53"/>
      <c r="AZ92" s="21">
        <f>SUM(AZ77:AZ90)</f>
        <v>65113250.6</v>
      </c>
      <c r="BA92" s="12"/>
      <c r="BB92" s="76">
        <f>SUM(BB77:BB90)</f>
        <v>3694</v>
      </c>
      <c r="BC92" s="30"/>
      <c r="BD92" s="53"/>
      <c r="BE92" s="21">
        <f>SUM(BE77:BE90)</f>
        <v>90025927.25000003</v>
      </c>
      <c r="BF92" s="12"/>
      <c r="BG92" s="76">
        <f>SUM(BG77:BG90)</f>
        <v>4619</v>
      </c>
      <c r="BH92" s="30"/>
      <c r="BI92" s="53"/>
      <c r="BJ92" s="21">
        <f>SUM(BJ77:BJ90)</f>
        <v>95291971.63000005</v>
      </c>
      <c r="BK92" s="12"/>
      <c r="BL92" s="76">
        <f>SUM(BL77:BL90)</f>
        <v>4721</v>
      </c>
      <c r="BM92" s="30"/>
      <c r="BN92" s="53"/>
      <c r="BO92" s="21">
        <f>SUM(BO77:BO90)</f>
        <v>98891212.97</v>
      </c>
      <c r="BP92" s="12"/>
      <c r="BQ92" s="76">
        <f>SUM(BQ77:BQ90)</f>
        <v>4756</v>
      </c>
      <c r="BR92" s="30"/>
      <c r="BS92" s="53"/>
      <c r="BT92" s="21">
        <f>SUM(BT77:BT90)</f>
        <v>102929975</v>
      </c>
      <c r="BU92" s="12"/>
      <c r="BV92" s="76">
        <f>SUM(BV77:BV90)</f>
        <v>4781</v>
      </c>
      <c r="BW92" s="30"/>
      <c r="BX92" s="53"/>
      <c r="BY92" s="21">
        <f>SUM(BY77:BY90)</f>
        <v>107975773.71999997</v>
      </c>
      <c r="BZ92" s="12"/>
      <c r="CA92" s="76">
        <f>SUM(CA77:CA90)</f>
        <v>4833</v>
      </c>
      <c r="CB92" s="30"/>
      <c r="CC92" s="53"/>
    </row>
    <row r="93" spans="1:81" ht="13.5" thickTop="1">
      <c r="A93" s="8"/>
      <c r="B93" s="8"/>
      <c r="C93" s="8"/>
      <c r="D93" s="9"/>
      <c r="E93" s="8"/>
      <c r="F93" s="10"/>
      <c r="G93" s="8"/>
      <c r="H93" s="8"/>
      <c r="I93" s="8"/>
      <c r="J93" s="8"/>
      <c r="K93" s="8"/>
      <c r="L93" s="8"/>
      <c r="M93" s="9"/>
      <c r="N93" s="8"/>
      <c r="O93" s="10"/>
      <c r="P93" s="8"/>
      <c r="Q93" s="8"/>
      <c r="R93" s="8"/>
      <c r="S93" s="8"/>
      <c r="T93" s="9"/>
      <c r="U93" s="8"/>
      <c r="V93" s="8"/>
      <c r="W93" s="8"/>
      <c r="X93" s="8"/>
      <c r="Y93" s="9"/>
      <c r="Z93" s="8"/>
      <c r="AA93" s="8"/>
      <c r="AB93" s="8"/>
      <c r="AC93" s="8"/>
      <c r="AD93" s="9"/>
      <c r="AE93" s="8"/>
      <c r="AF93" s="8"/>
      <c r="AG93" s="8"/>
      <c r="AH93" s="8"/>
      <c r="AI93" s="9"/>
      <c r="AJ93" s="8"/>
      <c r="AK93" s="8"/>
      <c r="AL93" s="8"/>
      <c r="AM93" s="8"/>
      <c r="AN93" s="9"/>
      <c r="AO93" s="8"/>
      <c r="AP93" s="8"/>
      <c r="AQ93" s="8"/>
      <c r="AR93" s="8"/>
      <c r="AS93" s="9"/>
      <c r="AT93" s="8"/>
      <c r="AU93" s="8"/>
      <c r="AV93" s="8"/>
      <c r="AW93" s="8"/>
      <c r="AX93" s="9"/>
      <c r="AY93" s="8"/>
      <c r="AZ93" s="8"/>
      <c r="BA93" s="8"/>
      <c r="BB93" s="8"/>
      <c r="BC93" s="9"/>
      <c r="BD93" s="8"/>
      <c r="BE93" s="8"/>
      <c r="BF93" s="8"/>
      <c r="BG93" s="8"/>
      <c r="BH93" s="9"/>
      <c r="BI93" s="8"/>
      <c r="BJ93" s="8"/>
      <c r="BK93" s="8"/>
      <c r="BL93" s="8"/>
      <c r="BM93" s="9"/>
      <c r="BN93" s="8"/>
      <c r="BO93" s="8"/>
      <c r="BP93" s="8"/>
      <c r="BQ93" s="8"/>
      <c r="BR93" s="9"/>
      <c r="BS93" s="8"/>
      <c r="BT93" s="8"/>
      <c r="BU93" s="8"/>
      <c r="BV93" s="8"/>
      <c r="BW93" s="9"/>
      <c r="BX93" s="8"/>
      <c r="BY93" s="8"/>
      <c r="BZ93" s="8"/>
      <c r="CA93" s="8"/>
      <c r="CB93" s="9"/>
      <c r="CC93" s="8"/>
    </row>
    <row r="94" spans="1:81" ht="12.75">
      <c r="A94" s="8"/>
      <c r="B94" s="8"/>
      <c r="C94" s="8"/>
      <c r="D94" s="9"/>
      <c r="E94" s="8"/>
      <c r="F94" s="10"/>
      <c r="G94" s="8"/>
      <c r="H94" s="8"/>
      <c r="I94" s="8"/>
      <c r="J94" s="8"/>
      <c r="K94" s="8"/>
      <c r="L94" s="8"/>
      <c r="M94" s="9"/>
      <c r="N94" s="8"/>
      <c r="O94" s="10"/>
      <c r="P94" s="8"/>
      <c r="Q94" s="8"/>
      <c r="R94" s="8"/>
      <c r="S94" s="8"/>
      <c r="T94" s="9"/>
      <c r="U94" s="8"/>
      <c r="V94" s="8"/>
      <c r="W94" s="8"/>
      <c r="X94" s="8"/>
      <c r="Y94" s="9"/>
      <c r="Z94" s="8"/>
      <c r="AA94" s="8"/>
      <c r="AB94" s="8"/>
      <c r="AC94" s="8"/>
      <c r="AD94" s="9"/>
      <c r="AE94" s="8"/>
      <c r="AF94" s="8"/>
      <c r="AG94" s="8"/>
      <c r="AH94" s="8"/>
      <c r="AI94" s="9"/>
      <c r="AJ94" s="8"/>
      <c r="AK94" s="8"/>
      <c r="AL94" s="8"/>
      <c r="AM94" s="8"/>
      <c r="AN94" s="9"/>
      <c r="AO94" s="8"/>
      <c r="AP94" s="8"/>
      <c r="AQ94" s="8"/>
      <c r="AR94" s="8"/>
      <c r="AS94" s="9"/>
      <c r="AT94" s="8"/>
      <c r="AU94" s="8"/>
      <c r="AV94" s="8"/>
      <c r="AW94" s="8"/>
      <c r="AX94" s="9"/>
      <c r="AY94" s="8"/>
      <c r="AZ94" s="8"/>
      <c r="BA94" s="8"/>
      <c r="BB94" s="8"/>
      <c r="BC94" s="9"/>
      <c r="BD94" s="8"/>
      <c r="BE94" s="8"/>
      <c r="BF94" s="8"/>
      <c r="BG94" s="8"/>
      <c r="BH94" s="9"/>
      <c r="BI94" s="8"/>
      <c r="BJ94" s="8"/>
      <c r="BK94" s="8"/>
      <c r="BL94" s="8"/>
      <c r="BM94" s="9"/>
      <c r="BN94" s="8"/>
      <c r="BO94" s="8"/>
      <c r="BP94" s="8"/>
      <c r="BQ94" s="8"/>
      <c r="BR94" s="9"/>
      <c r="BS94" s="8"/>
      <c r="BT94" s="8"/>
      <c r="BU94" s="8"/>
      <c r="BV94" s="8"/>
      <c r="BW94" s="9"/>
      <c r="BX94" s="8"/>
      <c r="BY94" s="8"/>
      <c r="BZ94" s="8"/>
      <c r="CA94" s="8"/>
      <c r="CB94" s="9"/>
      <c r="CC94" s="8"/>
    </row>
    <row r="95" spans="1:81" ht="12.75">
      <c r="A95" s="19" t="s">
        <v>111</v>
      </c>
      <c r="B95" s="8"/>
      <c r="C95" s="8"/>
      <c r="D95" s="9"/>
      <c r="E95" s="8"/>
      <c r="F95" s="10"/>
      <c r="G95" s="8"/>
      <c r="H95" s="8"/>
      <c r="I95" s="8"/>
      <c r="J95" s="19" t="s">
        <v>111</v>
      </c>
      <c r="K95" s="8"/>
      <c r="L95" s="8"/>
      <c r="M95" s="9"/>
      <c r="N95" s="8"/>
      <c r="O95" s="10"/>
      <c r="P95" s="8"/>
      <c r="Q95" s="19" t="s">
        <v>111</v>
      </c>
      <c r="R95" s="8"/>
      <c r="S95" s="8"/>
      <c r="T95" s="9"/>
      <c r="U95" s="8"/>
      <c r="V95" s="19" t="s">
        <v>111</v>
      </c>
      <c r="W95" s="8"/>
      <c r="X95" s="8"/>
      <c r="Y95" s="9"/>
      <c r="Z95" s="8"/>
      <c r="AA95" s="19" t="s">
        <v>111</v>
      </c>
      <c r="AB95" s="8"/>
      <c r="AC95" s="8"/>
      <c r="AD95" s="9"/>
      <c r="AE95" s="8"/>
      <c r="AF95" s="19" t="s">
        <v>111</v>
      </c>
      <c r="AG95" s="8"/>
      <c r="AH95" s="8"/>
      <c r="AI95" s="9"/>
      <c r="AJ95" s="8"/>
      <c r="AK95" s="19" t="s">
        <v>111</v>
      </c>
      <c r="AL95" s="8"/>
      <c r="AM95" s="8"/>
      <c r="AN95" s="9"/>
      <c r="AO95" s="8"/>
      <c r="AP95" s="19" t="s">
        <v>111</v>
      </c>
      <c r="AQ95" s="8"/>
      <c r="AR95" s="8"/>
      <c r="AS95" s="9"/>
      <c r="AT95" s="8"/>
      <c r="AU95" s="19" t="s">
        <v>111</v>
      </c>
      <c r="AV95" s="8"/>
      <c r="AW95" s="8"/>
      <c r="AX95" s="9"/>
      <c r="AY95" s="8"/>
      <c r="AZ95" s="19" t="s">
        <v>111</v>
      </c>
      <c r="BA95" s="8"/>
      <c r="BB95" s="8"/>
      <c r="BC95" s="9"/>
      <c r="BD95" s="8"/>
      <c r="BE95" s="19" t="s">
        <v>111</v>
      </c>
      <c r="BF95" s="8"/>
      <c r="BG95" s="8"/>
      <c r="BH95" s="9"/>
      <c r="BI95" s="8"/>
      <c r="BJ95" s="19" t="s">
        <v>111</v>
      </c>
      <c r="BK95" s="8"/>
      <c r="BL95" s="8"/>
      <c r="BM95" s="9"/>
      <c r="BN95" s="8"/>
      <c r="BO95" s="19" t="s">
        <v>111</v>
      </c>
      <c r="BP95" s="8"/>
      <c r="BQ95" s="8"/>
      <c r="BR95" s="9"/>
      <c r="BS95" s="8"/>
      <c r="BT95" s="19" t="s">
        <v>111</v>
      </c>
      <c r="BU95" s="8"/>
      <c r="BV95" s="8"/>
      <c r="BW95" s="9"/>
      <c r="BX95" s="8"/>
      <c r="BY95" s="19" t="s">
        <v>111</v>
      </c>
      <c r="BZ95" s="8"/>
      <c r="CA95" s="8"/>
      <c r="CB95" s="9"/>
      <c r="CC95" s="8"/>
    </row>
    <row r="96" spans="1:81" ht="12.75">
      <c r="A96" s="19"/>
      <c r="B96" s="8"/>
      <c r="C96" s="8"/>
      <c r="D96" s="9"/>
      <c r="E96" s="8"/>
      <c r="F96" s="10"/>
      <c r="G96" s="8"/>
      <c r="H96" s="8"/>
      <c r="I96" s="8"/>
      <c r="J96" s="19"/>
      <c r="K96" s="8"/>
      <c r="L96" s="8"/>
      <c r="M96" s="9"/>
      <c r="N96" s="8"/>
      <c r="O96" s="10"/>
      <c r="P96" s="8"/>
      <c r="Q96" s="19"/>
      <c r="R96" s="8"/>
      <c r="S96" s="8"/>
      <c r="T96" s="9"/>
      <c r="U96" s="8"/>
      <c r="V96" s="19"/>
      <c r="W96" s="8"/>
      <c r="X96" s="8"/>
      <c r="Y96" s="9"/>
      <c r="Z96" s="8"/>
      <c r="AA96" s="19"/>
      <c r="AB96" s="8"/>
      <c r="AC96" s="8"/>
      <c r="AD96" s="9"/>
      <c r="AE96" s="8"/>
      <c r="AF96" s="19"/>
      <c r="AG96" s="8"/>
      <c r="AH96" s="8"/>
      <c r="AI96" s="9"/>
      <c r="AJ96" s="8"/>
      <c r="AK96" s="19"/>
      <c r="AL96" s="8"/>
      <c r="AM96" s="8"/>
      <c r="AN96" s="9"/>
      <c r="AO96" s="8"/>
      <c r="AP96" s="19"/>
      <c r="AQ96" s="8"/>
      <c r="AR96" s="8"/>
      <c r="AS96" s="9"/>
      <c r="AT96" s="8"/>
      <c r="AU96" s="19"/>
      <c r="AV96" s="8"/>
      <c r="AW96" s="8"/>
      <c r="AX96" s="9"/>
      <c r="AY96" s="8"/>
      <c r="AZ96" s="19"/>
      <c r="BA96" s="8"/>
      <c r="BB96" s="8"/>
      <c r="BC96" s="9"/>
      <c r="BD96" s="8"/>
      <c r="BE96" s="19"/>
      <c r="BF96" s="8"/>
      <c r="BG96" s="8"/>
      <c r="BH96" s="9"/>
      <c r="BI96" s="8"/>
      <c r="BJ96" s="19"/>
      <c r="BK96" s="8"/>
      <c r="BL96" s="8"/>
      <c r="BM96" s="9"/>
      <c r="BN96" s="8"/>
      <c r="BO96" s="19"/>
      <c r="BP96" s="8"/>
      <c r="BQ96" s="8"/>
      <c r="BR96" s="9"/>
      <c r="BS96" s="8"/>
      <c r="BT96" s="19"/>
      <c r="BU96" s="8"/>
      <c r="BV96" s="8"/>
      <c r="BW96" s="9"/>
      <c r="BX96" s="8"/>
      <c r="BY96" s="19"/>
      <c r="BZ96" s="8"/>
      <c r="CA96" s="8"/>
      <c r="CB96" s="9"/>
      <c r="CC96" s="8"/>
    </row>
    <row r="97" spans="1:81" s="29" customFormat="1" ht="12.75">
      <c r="A97" s="25"/>
      <c r="B97" s="26"/>
      <c r="C97" s="26"/>
      <c r="D97" s="27" t="s">
        <v>99</v>
      </c>
      <c r="E97" s="26" t="s">
        <v>100</v>
      </c>
      <c r="F97" s="28" t="s">
        <v>101</v>
      </c>
      <c r="G97" s="26" t="s">
        <v>100</v>
      </c>
      <c r="H97" s="25"/>
      <c r="I97" s="25"/>
      <c r="J97" s="27" t="s">
        <v>99</v>
      </c>
      <c r="K97" s="26" t="s">
        <v>100</v>
      </c>
      <c r="L97" s="28" t="s">
        <v>101</v>
      </c>
      <c r="M97" s="26" t="s">
        <v>100</v>
      </c>
      <c r="N97" s="64"/>
      <c r="O97" s="65"/>
      <c r="P97" s="12" t="s">
        <v>140</v>
      </c>
      <c r="Q97" s="27" t="s">
        <v>99</v>
      </c>
      <c r="R97" s="26" t="s">
        <v>100</v>
      </c>
      <c r="S97" s="28" t="s">
        <v>101</v>
      </c>
      <c r="T97" s="26" t="s">
        <v>100</v>
      </c>
      <c r="U97" s="64"/>
      <c r="V97" s="27" t="s">
        <v>99</v>
      </c>
      <c r="W97" s="26" t="s">
        <v>100</v>
      </c>
      <c r="X97" s="28" t="s">
        <v>101</v>
      </c>
      <c r="Y97" s="26" t="s">
        <v>100</v>
      </c>
      <c r="Z97" s="64"/>
      <c r="AA97" s="27" t="s">
        <v>99</v>
      </c>
      <c r="AB97" s="26" t="s">
        <v>100</v>
      </c>
      <c r="AC97" s="28" t="s">
        <v>101</v>
      </c>
      <c r="AD97" s="26" t="s">
        <v>100</v>
      </c>
      <c r="AE97" s="64"/>
      <c r="AF97" s="27" t="s">
        <v>99</v>
      </c>
      <c r="AG97" s="26" t="s">
        <v>100</v>
      </c>
      <c r="AH97" s="28" t="s">
        <v>101</v>
      </c>
      <c r="AI97" s="26" t="s">
        <v>100</v>
      </c>
      <c r="AJ97" s="64"/>
      <c r="AK97" s="27" t="s">
        <v>99</v>
      </c>
      <c r="AL97" s="26" t="s">
        <v>100</v>
      </c>
      <c r="AM97" s="28" t="s">
        <v>101</v>
      </c>
      <c r="AN97" s="26" t="s">
        <v>100</v>
      </c>
      <c r="AO97" s="64"/>
      <c r="AP97" s="89" t="s">
        <v>99</v>
      </c>
      <c r="AQ97" s="44" t="s">
        <v>100</v>
      </c>
      <c r="AR97" s="88" t="s">
        <v>101</v>
      </c>
      <c r="AS97" s="44" t="s">
        <v>100</v>
      </c>
      <c r="AT97" s="64"/>
      <c r="AU97" s="89" t="s">
        <v>99</v>
      </c>
      <c r="AV97" s="44" t="s">
        <v>100</v>
      </c>
      <c r="AW97" s="88" t="s">
        <v>101</v>
      </c>
      <c r="AX97" s="44" t="s">
        <v>100</v>
      </c>
      <c r="AY97" s="64"/>
      <c r="AZ97" s="89" t="s">
        <v>99</v>
      </c>
      <c r="BA97" s="44" t="s">
        <v>100</v>
      </c>
      <c r="BB97" s="88" t="s">
        <v>101</v>
      </c>
      <c r="BC97" s="44" t="s">
        <v>100</v>
      </c>
      <c r="BD97" s="64"/>
      <c r="BE97" s="89" t="s">
        <v>99</v>
      </c>
      <c r="BF97" s="44" t="s">
        <v>100</v>
      </c>
      <c r="BG97" s="88" t="s">
        <v>101</v>
      </c>
      <c r="BH97" s="44" t="s">
        <v>100</v>
      </c>
      <c r="BI97" s="64"/>
      <c r="BJ97" s="89" t="s">
        <v>99</v>
      </c>
      <c r="BK97" s="44" t="s">
        <v>100</v>
      </c>
      <c r="BL97" s="88" t="s">
        <v>101</v>
      </c>
      <c r="BM97" s="44" t="s">
        <v>100</v>
      </c>
      <c r="BN97" s="64"/>
      <c r="BO97" s="89" t="s">
        <v>99</v>
      </c>
      <c r="BP97" s="44" t="s">
        <v>100</v>
      </c>
      <c r="BQ97" s="88" t="s">
        <v>101</v>
      </c>
      <c r="BR97" s="44" t="s">
        <v>100</v>
      </c>
      <c r="BS97" s="64"/>
      <c r="BT97" s="89" t="s">
        <v>99</v>
      </c>
      <c r="BU97" s="44" t="s">
        <v>100</v>
      </c>
      <c r="BV97" s="88" t="s">
        <v>101</v>
      </c>
      <c r="BW97" s="44" t="s">
        <v>100</v>
      </c>
      <c r="BX97" s="64"/>
      <c r="BY97" s="89" t="s">
        <v>99</v>
      </c>
      <c r="BZ97" s="44" t="s">
        <v>100</v>
      </c>
      <c r="CA97" s="88" t="s">
        <v>101</v>
      </c>
      <c r="CB97" s="44" t="s">
        <v>100</v>
      </c>
      <c r="CC97" s="64"/>
    </row>
    <row r="98" spans="1:81" ht="12.75">
      <c r="A98" s="12"/>
      <c r="B98" s="8"/>
      <c r="C98" s="8"/>
      <c r="D98" s="9"/>
      <c r="E98" s="8"/>
      <c r="F98" s="10"/>
      <c r="G98" s="8"/>
      <c r="H98" s="8"/>
      <c r="I98" s="8"/>
      <c r="J98" s="9"/>
      <c r="K98" s="8"/>
      <c r="L98" s="10"/>
      <c r="N98" s="54"/>
      <c r="O98" s="55"/>
      <c r="P98" s="8"/>
      <c r="Q98" s="9"/>
      <c r="R98" s="8"/>
      <c r="S98" s="10"/>
      <c r="T98" s="34"/>
      <c r="U98" s="54"/>
      <c r="V98" s="9"/>
      <c r="W98" s="8"/>
      <c r="X98" s="10"/>
      <c r="Y98" s="34"/>
      <c r="Z98" s="54"/>
      <c r="AA98" s="9"/>
      <c r="AB98" s="8"/>
      <c r="AC98" s="10"/>
      <c r="AD98" s="34"/>
      <c r="AE98" s="54"/>
      <c r="AF98" s="9"/>
      <c r="AG98" s="8"/>
      <c r="AH98" s="10"/>
      <c r="AI98" s="34"/>
      <c r="AJ98" s="54"/>
      <c r="AK98" s="9"/>
      <c r="AL98" s="8"/>
      <c r="AM98" s="10"/>
      <c r="AN98" s="34"/>
      <c r="AO98" s="54"/>
      <c r="AP98" s="9"/>
      <c r="AQ98" s="8"/>
      <c r="AR98" s="10"/>
      <c r="AS98" s="34"/>
      <c r="AT98" s="54"/>
      <c r="AU98" s="9"/>
      <c r="AV98" s="8"/>
      <c r="AW98" s="10"/>
      <c r="AX98" s="34"/>
      <c r="AY98" s="54"/>
      <c r="AZ98" s="9"/>
      <c r="BA98" s="8"/>
      <c r="BB98" s="10"/>
      <c r="BC98" s="34"/>
      <c r="BD98" s="54"/>
      <c r="BE98" s="9"/>
      <c r="BF98" s="8"/>
      <c r="BG98" s="10"/>
      <c r="BH98" s="34"/>
      <c r="BI98" s="54"/>
      <c r="BJ98" s="9"/>
      <c r="BK98" s="8"/>
      <c r="BL98" s="10"/>
      <c r="BM98" s="34"/>
      <c r="BN98" s="54"/>
      <c r="BO98" s="9"/>
      <c r="BP98" s="8"/>
      <c r="BQ98" s="10"/>
      <c r="BR98" s="34"/>
      <c r="BS98" s="54"/>
      <c r="BT98" s="9"/>
      <c r="BU98" s="8"/>
      <c r="BV98" s="10"/>
      <c r="BW98" s="34"/>
      <c r="BX98" s="54"/>
      <c r="BY98" s="9"/>
      <c r="BZ98" s="8"/>
      <c r="CA98" s="10"/>
      <c r="CB98" s="34"/>
      <c r="CC98" s="54"/>
    </row>
    <row r="99" spans="1:81" ht="12.75">
      <c r="A99" s="8" t="s">
        <v>31</v>
      </c>
      <c r="B99" s="8"/>
      <c r="C99" s="8"/>
      <c r="D99" s="9">
        <v>1124557.48</v>
      </c>
      <c r="E99" s="14">
        <f aca="true" t="shared" si="16" ref="E99:E110">+D99/$D$112</f>
        <v>0.04370660422751093</v>
      </c>
      <c r="F99" s="10">
        <v>100</v>
      </c>
      <c r="G99" s="14">
        <f>+F99/F112</f>
        <v>0.05382131324004306</v>
      </c>
      <c r="H99" s="8"/>
      <c r="I99" s="8"/>
      <c r="J99" s="9">
        <v>1090012.28</v>
      </c>
      <c r="K99" s="14">
        <f>+J99/J113</f>
        <v>0.04457020907181344</v>
      </c>
      <c r="L99" s="10">
        <v>98</v>
      </c>
      <c r="M99" s="14">
        <f>+L99/L113</f>
        <v>0.05477920626048072</v>
      </c>
      <c r="N99" s="56"/>
      <c r="O99" s="55"/>
      <c r="P99" s="14">
        <v>0.05477920626048072</v>
      </c>
      <c r="Q99" s="9">
        <v>2236439.76</v>
      </c>
      <c r="R99" s="14">
        <v>0.037906474138404374</v>
      </c>
      <c r="S99" s="10">
        <v>202</v>
      </c>
      <c r="T99" s="14">
        <v>0.04815256257449344</v>
      </c>
      <c r="U99" s="56"/>
      <c r="V99" s="9">
        <v>2499259.23</v>
      </c>
      <c r="W99" s="14">
        <v>0.03952318755515771</v>
      </c>
      <c r="X99" s="10">
        <v>213</v>
      </c>
      <c r="Y99" s="14">
        <v>0.04834316840671811</v>
      </c>
      <c r="Z99" s="56"/>
      <c r="AA99" s="9">
        <v>2811447.96</v>
      </c>
      <c r="AB99" s="14">
        <v>0.04351441806376681</v>
      </c>
      <c r="AC99" s="10">
        <v>228</v>
      </c>
      <c r="AD99" s="14">
        <v>0.05097250167672703</v>
      </c>
      <c r="AE99" s="56"/>
      <c r="AF99" s="9">
        <v>2498494.17</v>
      </c>
      <c r="AG99" s="14">
        <v>0.044687541105680635</v>
      </c>
      <c r="AH99" s="10">
        <v>206</v>
      </c>
      <c r="AI99" s="14">
        <v>0.05135876340064822</v>
      </c>
      <c r="AJ99" s="56"/>
      <c r="AK99" s="9">
        <v>2166421.27</v>
      </c>
      <c r="AL99" s="14">
        <v>0.047095876597943495</v>
      </c>
      <c r="AM99" s="10">
        <v>181</v>
      </c>
      <c r="AN99" s="14">
        <v>0.0519219736087206</v>
      </c>
      <c r="AO99" s="56"/>
      <c r="AP99" s="9">
        <v>3819173.96</v>
      </c>
      <c r="AQ99" s="14">
        <v>0.05239784160332761</v>
      </c>
      <c r="AR99" s="10">
        <v>245</v>
      </c>
      <c r="AS99" s="14">
        <v>0.054371948513093654</v>
      </c>
      <c r="AT99" s="56"/>
      <c r="AU99" s="9">
        <v>3594040.31</v>
      </c>
      <c r="AV99" s="14">
        <v>0.054284264306228534</v>
      </c>
      <c r="AW99" s="10">
        <v>228</v>
      </c>
      <c r="AX99" s="14">
        <v>0.059052059052059055</v>
      </c>
      <c r="AY99" s="56"/>
      <c r="AZ99" s="9">
        <v>3582858.9</v>
      </c>
      <c r="BA99" s="14">
        <v>0.05502503510399157</v>
      </c>
      <c r="BB99" s="10">
        <v>213</v>
      </c>
      <c r="BC99" s="14">
        <v>0.057661072008662696</v>
      </c>
      <c r="BD99" s="56"/>
      <c r="BE99" s="9">
        <v>4959520.03</v>
      </c>
      <c r="BF99" s="14">
        <v>0.055089907779872396</v>
      </c>
      <c r="BG99" s="10">
        <v>267</v>
      </c>
      <c r="BH99" s="14">
        <v>0.05780471963628491</v>
      </c>
      <c r="BI99" s="56"/>
      <c r="BJ99" s="9">
        <v>5371945.330000003</v>
      </c>
      <c r="BK99" s="14">
        <v>0.05637353533682994</v>
      </c>
      <c r="BL99" s="10">
        <v>277</v>
      </c>
      <c r="BM99" s="14">
        <v>0.058674009743698366</v>
      </c>
      <c r="BN99" s="56"/>
      <c r="BO99" s="9">
        <v>5364044.65</v>
      </c>
      <c r="BP99" s="14">
        <v>0.0542418733566071</v>
      </c>
      <c r="BQ99" s="10">
        <v>283</v>
      </c>
      <c r="BR99" s="14">
        <v>0.05950378469301935</v>
      </c>
      <c r="BS99" s="56"/>
      <c r="BT99" s="9">
        <v>5588229.399999997</v>
      </c>
      <c r="BU99" s="14">
        <v>0.05429156472640743</v>
      </c>
      <c r="BV99" s="10">
        <v>270</v>
      </c>
      <c r="BW99" s="14">
        <v>0.05647354110018824</v>
      </c>
      <c r="BX99" s="56"/>
      <c r="BY99" s="9">
        <v>5726746.88</v>
      </c>
      <c r="BZ99" s="14">
        <v>0.05303733127072053</v>
      </c>
      <c r="CA99" s="10">
        <v>268</v>
      </c>
      <c r="CB99" s="14">
        <v>0.05545210014483758</v>
      </c>
      <c r="CC99" s="56"/>
    </row>
    <row r="100" spans="1:81" ht="12.75">
      <c r="A100" s="8" t="s">
        <v>32</v>
      </c>
      <c r="B100" s="8"/>
      <c r="C100" s="8"/>
      <c r="D100" s="9">
        <v>2057016.25</v>
      </c>
      <c r="E100" s="14">
        <f t="shared" si="16"/>
        <v>0.07994717631357419</v>
      </c>
      <c r="F100" s="10">
        <v>170</v>
      </c>
      <c r="G100" s="14">
        <f>+F100/$F$112</f>
        <v>0.09149623250807319</v>
      </c>
      <c r="H100" s="8"/>
      <c r="I100" s="8"/>
      <c r="J100" s="9">
        <v>1968466.33</v>
      </c>
      <c r="K100" s="14">
        <f>+J100/$J$113</f>
        <v>0.08048987840662244</v>
      </c>
      <c r="L100" s="10">
        <v>165</v>
      </c>
      <c r="M100" s="14">
        <f>+L100/$L$113</f>
        <v>0.092230296254891</v>
      </c>
      <c r="N100" s="56"/>
      <c r="O100" s="55"/>
      <c r="P100" s="14">
        <v>0.092230296254891</v>
      </c>
      <c r="Q100" s="9">
        <v>4586499.18</v>
      </c>
      <c r="R100" s="14">
        <v>0.07773874157579948</v>
      </c>
      <c r="S100" s="10">
        <v>375</v>
      </c>
      <c r="T100" s="14">
        <v>0.08939213349225268</v>
      </c>
      <c r="U100" s="56"/>
      <c r="V100" s="9">
        <v>4947051.77</v>
      </c>
      <c r="W100" s="14">
        <v>0.0782324828908544</v>
      </c>
      <c r="X100" s="10">
        <v>396</v>
      </c>
      <c r="Y100" s="14">
        <v>0.08987743985474353</v>
      </c>
      <c r="Z100" s="56"/>
      <c r="AA100" s="9">
        <v>5256172.72</v>
      </c>
      <c r="AB100" s="14">
        <v>0.0813528475033364</v>
      </c>
      <c r="AC100" s="10">
        <v>416</v>
      </c>
      <c r="AD100" s="14">
        <v>0.0930024591996423</v>
      </c>
      <c r="AE100" s="56"/>
      <c r="AF100" s="9">
        <v>4605449.989999995</v>
      </c>
      <c r="AG100" s="14">
        <v>0.08237210965286393</v>
      </c>
      <c r="AH100" s="10">
        <v>372</v>
      </c>
      <c r="AI100" s="14">
        <v>0.09274495138369485</v>
      </c>
      <c r="AJ100" s="56"/>
      <c r="AK100" s="9">
        <v>3767502.38</v>
      </c>
      <c r="AL100" s="14">
        <v>0.08190181181656257</v>
      </c>
      <c r="AM100" s="10">
        <v>317</v>
      </c>
      <c r="AN100" s="14">
        <v>0.09093516924842227</v>
      </c>
      <c r="AO100" s="56"/>
      <c r="AP100" s="9">
        <v>6892437.930000006</v>
      </c>
      <c r="AQ100" s="14">
        <v>0.09456203741944964</v>
      </c>
      <c r="AR100" s="10">
        <v>459</v>
      </c>
      <c r="AS100" s="14">
        <v>0.10186418109187749</v>
      </c>
      <c r="AT100" s="56"/>
      <c r="AU100" s="9">
        <v>6286998.479999999</v>
      </c>
      <c r="AV100" s="14">
        <v>0.0949586141901611</v>
      </c>
      <c r="AW100" s="10">
        <v>414</v>
      </c>
      <c r="AX100" s="14">
        <v>0.10722610722610723</v>
      </c>
      <c r="AY100" s="56"/>
      <c r="AZ100" s="9">
        <v>6347685.049999999</v>
      </c>
      <c r="BA100" s="14">
        <v>0.09748684010562973</v>
      </c>
      <c r="BB100" s="10">
        <v>403</v>
      </c>
      <c r="BC100" s="14">
        <v>0.10909583107742285</v>
      </c>
      <c r="BD100" s="56"/>
      <c r="BE100" s="9">
        <v>8767000.979999993</v>
      </c>
      <c r="BF100" s="14">
        <v>0.09738306783171724</v>
      </c>
      <c r="BG100" s="10">
        <v>507</v>
      </c>
      <c r="BH100" s="14">
        <v>0.10976401818575449</v>
      </c>
      <c r="BI100" s="56"/>
      <c r="BJ100" s="9">
        <v>9092692.850000003</v>
      </c>
      <c r="BK100" s="14">
        <v>0.09541929602742548</v>
      </c>
      <c r="BL100" s="10">
        <v>509</v>
      </c>
      <c r="BM100" s="14">
        <v>0.10781614064816776</v>
      </c>
      <c r="BN100" s="56"/>
      <c r="BO100" s="9">
        <v>9116203.250000015</v>
      </c>
      <c r="BP100" s="14">
        <v>0.09218415849308612</v>
      </c>
      <c r="BQ100" s="10">
        <v>500</v>
      </c>
      <c r="BR100" s="14">
        <v>0.10513036164844407</v>
      </c>
      <c r="BS100" s="56"/>
      <c r="BT100" s="9">
        <v>9870031.45999999</v>
      </c>
      <c r="BU100" s="14">
        <v>0.09589073989379665</v>
      </c>
      <c r="BV100" s="10">
        <v>509</v>
      </c>
      <c r="BW100" s="14">
        <v>0.10646308303702154</v>
      </c>
      <c r="BX100" s="56"/>
      <c r="BY100" s="9">
        <v>9885973.88</v>
      </c>
      <c r="BZ100" s="14">
        <v>0.0915573330887728</v>
      </c>
      <c r="CA100" s="10">
        <v>493</v>
      </c>
      <c r="CB100" s="14">
        <v>0.10200703496792882</v>
      </c>
      <c r="CC100" s="56"/>
    </row>
    <row r="101" spans="1:81" ht="12.75">
      <c r="A101" s="8" t="s">
        <v>33</v>
      </c>
      <c r="B101" s="8"/>
      <c r="C101" s="8"/>
      <c r="D101" s="9">
        <v>1804856.64</v>
      </c>
      <c r="E101" s="14">
        <f t="shared" si="16"/>
        <v>0.07014684109510806</v>
      </c>
      <c r="F101" s="10">
        <v>151</v>
      </c>
      <c r="G101" s="14">
        <v>0.08127018299246501</v>
      </c>
      <c r="H101" s="8"/>
      <c r="I101" s="8"/>
      <c r="J101" s="9">
        <v>1675443.65</v>
      </c>
      <c r="K101" s="14">
        <f aca="true" t="shared" si="17" ref="K101:K111">+J101/$J$113</f>
        <v>0.06850828668512084</v>
      </c>
      <c r="L101" s="10">
        <v>144</v>
      </c>
      <c r="M101" s="14">
        <f aca="true" t="shared" si="18" ref="M101:M111">+L101/$L$113</f>
        <v>0.08049189491335942</v>
      </c>
      <c r="N101" s="56"/>
      <c r="O101" s="55"/>
      <c r="P101" s="14">
        <v>0.08049189491335942</v>
      </c>
      <c r="Q101" s="9">
        <v>3976107.2</v>
      </c>
      <c r="R101" s="14">
        <v>0.06739291951611683</v>
      </c>
      <c r="S101" s="10">
        <v>346</v>
      </c>
      <c r="T101" s="14">
        <v>0.08247914183551848</v>
      </c>
      <c r="U101" s="56"/>
      <c r="V101" s="9">
        <v>4175399.29</v>
      </c>
      <c r="W101" s="14">
        <v>0.06602960080149124</v>
      </c>
      <c r="X101" s="10">
        <v>356</v>
      </c>
      <c r="Y101" s="14">
        <v>0.08079891057648661</v>
      </c>
      <c r="Z101" s="56"/>
      <c r="AA101" s="9">
        <v>4521940.82</v>
      </c>
      <c r="AB101" s="14">
        <v>0.06998871261379942</v>
      </c>
      <c r="AC101" s="10">
        <v>371</v>
      </c>
      <c r="AD101" s="14">
        <v>0.08294209702660407</v>
      </c>
      <c r="AE101" s="56"/>
      <c r="AF101" s="9">
        <v>3986440.14</v>
      </c>
      <c r="AG101" s="14">
        <v>0.07130062969952224</v>
      </c>
      <c r="AH101" s="10">
        <v>332</v>
      </c>
      <c r="AI101" s="14">
        <v>0.08277237596609324</v>
      </c>
      <c r="AJ101" s="56"/>
      <c r="AK101" s="9">
        <v>3381168.14</v>
      </c>
      <c r="AL101" s="14">
        <v>0.07350328381808136</v>
      </c>
      <c r="AM101" s="10">
        <v>289</v>
      </c>
      <c r="AN101" s="14">
        <v>0.08290304073436604</v>
      </c>
      <c r="AO101" s="56"/>
      <c r="AP101" s="9">
        <v>5531744.770000006</v>
      </c>
      <c r="AQ101" s="14">
        <v>0.07589376375212202</v>
      </c>
      <c r="AR101" s="10">
        <v>375</v>
      </c>
      <c r="AS101" s="14">
        <v>0.08322237017310254</v>
      </c>
      <c r="AT101" s="56"/>
      <c r="AU101" s="9">
        <v>4922674.82</v>
      </c>
      <c r="AV101" s="14">
        <v>0.07435191538586162</v>
      </c>
      <c r="AW101" s="10">
        <v>336</v>
      </c>
      <c r="AX101" s="14">
        <v>0.08702408702408702</v>
      </c>
      <c r="AY101" s="56"/>
      <c r="AZ101" s="9">
        <v>4939420.97</v>
      </c>
      <c r="BA101" s="14">
        <v>0.07585892156334774</v>
      </c>
      <c r="BB101" s="10">
        <v>328</v>
      </c>
      <c r="BC101" s="14">
        <v>0.08879263670817542</v>
      </c>
      <c r="BD101" s="56"/>
      <c r="BE101" s="9">
        <v>7239161.300000005</v>
      </c>
      <c r="BF101" s="14">
        <v>0.08041196043332066</v>
      </c>
      <c r="BG101" s="10">
        <v>434</v>
      </c>
      <c r="BH101" s="14">
        <v>0.09395973154362416</v>
      </c>
      <c r="BI101" s="56"/>
      <c r="BJ101" s="9">
        <v>7452763.189999998</v>
      </c>
      <c r="BK101" s="14">
        <v>0.07820977006266185</v>
      </c>
      <c r="BL101" s="10">
        <v>425</v>
      </c>
      <c r="BM101" s="14">
        <v>0.09002330014827367</v>
      </c>
      <c r="BN101" s="56"/>
      <c r="BO101" s="9">
        <v>8443301.970000004</v>
      </c>
      <c r="BP101" s="14">
        <v>0.08537969872572393</v>
      </c>
      <c r="BQ101" s="10">
        <v>447</v>
      </c>
      <c r="BR101" s="14">
        <v>0.093986543313709</v>
      </c>
      <c r="BS101" s="56"/>
      <c r="BT101" s="9">
        <v>8459839.230000004</v>
      </c>
      <c r="BU101" s="14">
        <v>0.082190238849276</v>
      </c>
      <c r="BV101" s="10">
        <v>439</v>
      </c>
      <c r="BW101" s="14">
        <v>0.0918217946036394</v>
      </c>
      <c r="BX101" s="56"/>
      <c r="BY101" s="9">
        <v>8805356.679999996</v>
      </c>
      <c r="BZ101" s="14">
        <v>0.08154937331436792</v>
      </c>
      <c r="CA101" s="10">
        <v>431</v>
      </c>
      <c r="CB101" s="14">
        <v>0.08917856403889923</v>
      </c>
      <c r="CC101" s="56"/>
    </row>
    <row r="102" spans="1:81" ht="12.75">
      <c r="A102" s="8" t="s">
        <v>34</v>
      </c>
      <c r="B102" s="8"/>
      <c r="C102" s="8"/>
      <c r="D102" s="9">
        <v>2166530.85</v>
      </c>
      <c r="E102" s="14">
        <f t="shared" si="16"/>
        <v>0.08420352724668449</v>
      </c>
      <c r="F102" s="10">
        <v>174</v>
      </c>
      <c r="G102" s="14">
        <v>0.09364908503767493</v>
      </c>
      <c r="H102" s="8"/>
      <c r="I102" s="8"/>
      <c r="J102" s="9">
        <v>2095203.45</v>
      </c>
      <c r="K102" s="14">
        <f t="shared" si="17"/>
        <v>0.08567211354213808</v>
      </c>
      <c r="L102" s="10">
        <v>170</v>
      </c>
      <c r="M102" s="14">
        <f t="shared" si="18"/>
        <v>0.09502515371716043</v>
      </c>
      <c r="N102" s="56"/>
      <c r="O102" s="55"/>
      <c r="P102" s="14">
        <v>0.09502515371716043</v>
      </c>
      <c r="Q102" s="9">
        <v>5050922.02</v>
      </c>
      <c r="R102" s="14">
        <v>0.08561046371587815</v>
      </c>
      <c r="S102" s="10">
        <v>384</v>
      </c>
      <c r="T102" s="14">
        <v>0.09153754469606674</v>
      </c>
      <c r="U102" s="56"/>
      <c r="V102" s="9">
        <v>5387929.379999996</v>
      </c>
      <c r="W102" s="14">
        <v>0.08520450414408774</v>
      </c>
      <c r="X102" s="10">
        <v>400</v>
      </c>
      <c r="Y102" s="14">
        <v>0.09078529278256922</v>
      </c>
      <c r="Z102" s="56"/>
      <c r="AA102" s="9">
        <v>5270422.61</v>
      </c>
      <c r="AB102" s="14">
        <v>0.0815734013530412</v>
      </c>
      <c r="AC102" s="10">
        <v>396</v>
      </c>
      <c r="AD102" s="14">
        <v>0.08853118712273642</v>
      </c>
      <c r="AE102" s="56"/>
      <c r="AF102" s="9">
        <v>4431095.469999994</v>
      </c>
      <c r="AG102" s="14">
        <v>0.07925364138785243</v>
      </c>
      <c r="AH102" s="10">
        <v>326</v>
      </c>
      <c r="AI102" s="14">
        <v>0.08127648965345301</v>
      </c>
      <c r="AJ102" s="56"/>
      <c r="AK102" s="9">
        <v>3361991.75</v>
      </c>
      <c r="AL102" s="14">
        <v>0.07308640788100468</v>
      </c>
      <c r="AM102" s="10">
        <v>260</v>
      </c>
      <c r="AN102" s="14">
        <v>0.07458405048766495</v>
      </c>
      <c r="AO102" s="56"/>
      <c r="AP102" s="9">
        <v>5677252.6400000015</v>
      </c>
      <c r="AQ102" s="14">
        <v>0.07789008505200262</v>
      </c>
      <c r="AR102" s="10">
        <v>340</v>
      </c>
      <c r="AS102" s="14">
        <v>0.0754549489569463</v>
      </c>
      <c r="AT102" s="56"/>
      <c r="AU102" s="9">
        <v>5110404.44</v>
      </c>
      <c r="AV102" s="14">
        <v>0.07718737727031334</v>
      </c>
      <c r="AW102" s="10">
        <v>309</v>
      </c>
      <c r="AX102" s="14">
        <v>0.08003108003108003</v>
      </c>
      <c r="AY102" s="56"/>
      <c r="AZ102" s="9">
        <v>4705836.1</v>
      </c>
      <c r="BA102" s="14">
        <v>0.0722715585021031</v>
      </c>
      <c r="BB102" s="10">
        <v>284</v>
      </c>
      <c r="BC102" s="14">
        <v>0.0768814293448836</v>
      </c>
      <c r="BD102" s="56"/>
      <c r="BE102" s="9">
        <v>7416737.180000006</v>
      </c>
      <c r="BF102" s="14">
        <v>0.08238445752859497</v>
      </c>
      <c r="BG102" s="10">
        <v>383</v>
      </c>
      <c r="BH102" s="14">
        <v>0.08291838060186188</v>
      </c>
      <c r="BI102" s="56"/>
      <c r="BJ102" s="9">
        <v>7604494.539999996</v>
      </c>
      <c r="BK102" s="14">
        <v>0.07980204848239211</v>
      </c>
      <c r="BL102" s="10">
        <v>392</v>
      </c>
      <c r="BM102" s="14">
        <v>0.08303325566617242</v>
      </c>
      <c r="BN102" s="56"/>
      <c r="BO102" s="9">
        <v>7658445.670000004</v>
      </c>
      <c r="BP102" s="14">
        <v>0.07744313614924814</v>
      </c>
      <c r="BQ102" s="10">
        <v>385</v>
      </c>
      <c r="BR102" s="14">
        <v>0.08095037846930193</v>
      </c>
      <c r="BS102" s="56"/>
      <c r="BT102" s="9">
        <v>8166388.490000001</v>
      </c>
      <c r="BU102" s="14">
        <v>0.07933926429108726</v>
      </c>
      <c r="BV102" s="10">
        <v>395</v>
      </c>
      <c r="BW102" s="14">
        <v>0.08261869901694206</v>
      </c>
      <c r="BX102" s="56"/>
      <c r="BY102" s="9">
        <v>8698956.529999996</v>
      </c>
      <c r="BZ102" s="14">
        <v>0.08056396569621169</v>
      </c>
      <c r="CA102" s="10">
        <v>413</v>
      </c>
      <c r="CB102" s="14">
        <v>0.08545416925305194</v>
      </c>
      <c r="CC102" s="56"/>
    </row>
    <row r="103" spans="1:81" ht="12.75">
      <c r="A103" s="8" t="s">
        <v>35</v>
      </c>
      <c r="B103" s="8"/>
      <c r="C103" s="8"/>
      <c r="D103" s="9">
        <v>2360463.48</v>
      </c>
      <c r="E103" s="14">
        <f t="shared" si="16"/>
        <v>0.09174083579423006</v>
      </c>
      <c r="F103" s="10">
        <v>166</v>
      </c>
      <c r="G103" s="14">
        <v>0.08934337997847147</v>
      </c>
      <c r="H103" s="8"/>
      <c r="I103" s="8"/>
      <c r="J103" s="9">
        <v>2214172.22</v>
      </c>
      <c r="K103" s="14">
        <f t="shared" si="17"/>
        <v>0.09053670364741331</v>
      </c>
      <c r="L103" s="10">
        <v>156</v>
      </c>
      <c r="M103" s="14">
        <f t="shared" si="18"/>
        <v>0.08719955282280603</v>
      </c>
      <c r="N103" s="56"/>
      <c r="O103" s="55"/>
      <c r="P103" s="14">
        <v>0.08719955282280603</v>
      </c>
      <c r="Q103" s="9">
        <v>5589462.569999997</v>
      </c>
      <c r="R103" s="14">
        <v>0.09473844194099118</v>
      </c>
      <c r="S103" s="10">
        <v>414</v>
      </c>
      <c r="T103" s="14">
        <v>0.09868891537544697</v>
      </c>
      <c r="U103" s="56"/>
      <c r="V103" s="9">
        <v>6142964.6899999995</v>
      </c>
      <c r="W103" s="14">
        <v>0.09714460295804583</v>
      </c>
      <c r="X103" s="10">
        <v>426</v>
      </c>
      <c r="Y103" s="14">
        <v>0.09668633681343622</v>
      </c>
      <c r="Z103" s="56"/>
      <c r="AA103" s="9">
        <v>6542306.100000001</v>
      </c>
      <c r="AB103" s="14">
        <v>0.10125908314395113</v>
      </c>
      <c r="AC103" s="10">
        <v>433</v>
      </c>
      <c r="AD103" s="14">
        <v>0.0968030404650123</v>
      </c>
      <c r="AE103" s="56"/>
      <c r="AF103" s="9">
        <v>5610702.430000002</v>
      </c>
      <c r="AG103" s="14">
        <v>0.1003518433154348</v>
      </c>
      <c r="AH103" s="10">
        <v>378</v>
      </c>
      <c r="AI103" s="14">
        <v>0.09424083769633508</v>
      </c>
      <c r="AJ103" s="56"/>
      <c r="AK103" s="9">
        <v>4909486.33</v>
      </c>
      <c r="AL103" s="14">
        <v>0.10672742442053788</v>
      </c>
      <c r="AM103" s="10">
        <v>331</v>
      </c>
      <c r="AN103" s="14">
        <v>0.09495123350545037</v>
      </c>
      <c r="AO103" s="56"/>
      <c r="AP103" s="9">
        <v>7279139.150000001</v>
      </c>
      <c r="AQ103" s="14">
        <v>0.09986745411049068</v>
      </c>
      <c r="AR103" s="10">
        <v>423</v>
      </c>
      <c r="AS103" s="14">
        <v>0.09387483355525965</v>
      </c>
      <c r="AT103" s="56"/>
      <c r="AU103" s="9">
        <v>6784653.710000001</v>
      </c>
      <c r="AV103" s="14">
        <v>0.10247518209384639</v>
      </c>
      <c r="AW103" s="10">
        <v>393</v>
      </c>
      <c r="AX103" s="14">
        <v>0.10178710178710179</v>
      </c>
      <c r="AY103" s="56"/>
      <c r="AZ103" s="9">
        <v>6677329.710000001</v>
      </c>
      <c r="BA103" s="14">
        <v>0.10254947569765471</v>
      </c>
      <c r="BB103" s="10">
        <v>380</v>
      </c>
      <c r="BC103" s="14">
        <v>0.10286951813752031</v>
      </c>
      <c r="BD103" s="56"/>
      <c r="BE103" s="9">
        <v>8964264.540000005</v>
      </c>
      <c r="BF103" s="14">
        <v>0.09957425392694307</v>
      </c>
      <c r="BG103" s="10">
        <v>465</v>
      </c>
      <c r="BH103" s="14">
        <v>0.10067114093959731</v>
      </c>
      <c r="BI103" s="56"/>
      <c r="BJ103" s="9">
        <v>9189762.890000008</v>
      </c>
      <c r="BK103" s="14">
        <v>0.09643795518978292</v>
      </c>
      <c r="BL103" s="10">
        <v>463</v>
      </c>
      <c r="BM103" s="14">
        <v>0.09807244227917813</v>
      </c>
      <c r="BN103" s="56"/>
      <c r="BO103" s="9">
        <v>9762189.179999989</v>
      </c>
      <c r="BP103" s="14">
        <v>0.09871644696037332</v>
      </c>
      <c r="BQ103" s="10">
        <v>469</v>
      </c>
      <c r="BR103" s="14">
        <v>0.09861227922624054</v>
      </c>
      <c r="BS103" s="56"/>
      <c r="BT103" s="9">
        <v>9780556.230000004</v>
      </c>
      <c r="BU103" s="14">
        <v>0.0950214573548668</v>
      </c>
      <c r="BV103" s="10">
        <v>457</v>
      </c>
      <c r="BW103" s="14">
        <v>0.09558669734365195</v>
      </c>
      <c r="BX103" s="56"/>
      <c r="BY103" s="9">
        <v>10423811.599999996</v>
      </c>
      <c r="BZ103" s="14">
        <v>0.09653842932425524</v>
      </c>
      <c r="CA103" s="10">
        <v>467</v>
      </c>
      <c r="CB103" s="14">
        <v>0.09662735361059384</v>
      </c>
      <c r="CC103" s="56"/>
    </row>
    <row r="104" spans="1:81" ht="12.75">
      <c r="A104" s="8" t="s">
        <v>42</v>
      </c>
      <c r="B104" s="8"/>
      <c r="C104" s="8"/>
      <c r="D104" s="9">
        <v>1325982.87</v>
      </c>
      <c r="E104" s="14">
        <f t="shared" si="16"/>
        <v>0.051535123408319755</v>
      </c>
      <c r="F104" s="10">
        <v>84</v>
      </c>
      <c r="G104" s="14">
        <v>0.04520990312163617</v>
      </c>
      <c r="H104" s="8"/>
      <c r="I104" s="8"/>
      <c r="J104" s="9">
        <v>1292877.18</v>
      </c>
      <c r="K104" s="14">
        <f t="shared" si="17"/>
        <v>0.052865281679924346</v>
      </c>
      <c r="L104" s="10">
        <v>82</v>
      </c>
      <c r="M104" s="14">
        <f t="shared" si="18"/>
        <v>0.045835662381218556</v>
      </c>
      <c r="N104" s="56"/>
      <c r="O104" s="55"/>
      <c r="P104" s="14">
        <v>0.045835662381218556</v>
      </c>
      <c r="Q104" s="9">
        <v>2834815.43</v>
      </c>
      <c r="R104" s="14">
        <v>0.04804862608257544</v>
      </c>
      <c r="S104" s="10">
        <v>192</v>
      </c>
      <c r="T104" s="14">
        <v>0.04576877234803337</v>
      </c>
      <c r="U104" s="56"/>
      <c r="V104" s="9">
        <v>2890707.01</v>
      </c>
      <c r="W104" s="14">
        <v>0.045713527413176434</v>
      </c>
      <c r="X104" s="10">
        <v>193</v>
      </c>
      <c r="Y104" s="14">
        <v>0.04380390376758965</v>
      </c>
      <c r="Z104" s="56"/>
      <c r="AA104" s="9">
        <v>2606306.29</v>
      </c>
      <c r="AB104" s="14">
        <v>0.040339320918920736</v>
      </c>
      <c r="AC104" s="10">
        <v>182</v>
      </c>
      <c r="AD104" s="14">
        <v>0.0406885758998435</v>
      </c>
      <c r="AE104" s="56"/>
      <c r="AF104" s="9">
        <v>2132123.57</v>
      </c>
      <c r="AG104" s="14">
        <v>0.03813471362903581</v>
      </c>
      <c r="AH104" s="10">
        <v>148</v>
      </c>
      <c r="AI104" s="14">
        <v>0.0368985290451259</v>
      </c>
      <c r="AJ104" s="56"/>
      <c r="AK104" s="9">
        <v>1712188.4</v>
      </c>
      <c r="AL104" s="14">
        <v>0.03722129888377174</v>
      </c>
      <c r="AM104" s="10">
        <v>119</v>
      </c>
      <c r="AN104" s="14">
        <v>0.03413654618473896</v>
      </c>
      <c r="AO104" s="56"/>
      <c r="AP104" s="9">
        <v>2826943.19</v>
      </c>
      <c r="AQ104" s="14">
        <v>0.038784753730156274</v>
      </c>
      <c r="AR104" s="10">
        <v>162</v>
      </c>
      <c r="AS104" s="14">
        <v>0.03595206391478029</v>
      </c>
      <c r="AT104" s="56"/>
      <c r="AU104" s="9">
        <v>2522852.53</v>
      </c>
      <c r="AV104" s="14">
        <v>0.03810508000233235</v>
      </c>
      <c r="AW104" s="10">
        <v>142</v>
      </c>
      <c r="AX104" s="14">
        <v>0.03677803677803678</v>
      </c>
      <c r="AY104" s="56"/>
      <c r="AZ104" s="9">
        <v>2319331.63</v>
      </c>
      <c r="BA104" s="14">
        <v>0.03561996381117548</v>
      </c>
      <c r="BB104" s="10">
        <v>131</v>
      </c>
      <c r="BC104" s="14">
        <v>0.03546291283161884</v>
      </c>
      <c r="BD104" s="56"/>
      <c r="BE104" s="9">
        <v>3270651.34</v>
      </c>
      <c r="BF104" s="14">
        <v>0.03633010444777175</v>
      </c>
      <c r="BG104" s="10">
        <v>163</v>
      </c>
      <c r="BH104" s="14">
        <v>0.035289023598181424</v>
      </c>
      <c r="BI104" s="56"/>
      <c r="BJ104" s="9">
        <v>3618887.3</v>
      </c>
      <c r="BK104" s="14">
        <v>0.03797683307520832</v>
      </c>
      <c r="BL104" s="10">
        <v>173</v>
      </c>
      <c r="BM104" s="14">
        <v>0.0366447786485914</v>
      </c>
      <c r="BN104" s="56"/>
      <c r="BO104" s="9">
        <v>3925668.54</v>
      </c>
      <c r="BP104" s="14">
        <v>0.03969683879993365</v>
      </c>
      <c r="BQ104" s="10">
        <v>184</v>
      </c>
      <c r="BR104" s="14">
        <v>0.03868797308662742</v>
      </c>
      <c r="BS104" s="56"/>
      <c r="BT104" s="9">
        <v>4486131.31</v>
      </c>
      <c r="BU104" s="14">
        <v>0.04358430389203924</v>
      </c>
      <c r="BV104" s="10">
        <v>200</v>
      </c>
      <c r="BW104" s="14">
        <v>0.04183225266680611</v>
      </c>
      <c r="BX104" s="56"/>
      <c r="BY104" s="9">
        <v>4373016.66</v>
      </c>
      <c r="BZ104" s="14">
        <v>0.04049997985048011</v>
      </c>
      <c r="CA104" s="10">
        <v>199</v>
      </c>
      <c r="CB104" s="14">
        <v>0.04117525346575626</v>
      </c>
      <c r="CC104" s="56"/>
    </row>
    <row r="105" spans="1:81" ht="12.75">
      <c r="A105" s="8" t="s">
        <v>36</v>
      </c>
      <c r="B105" s="8"/>
      <c r="C105" s="8"/>
      <c r="D105" s="9">
        <f>8001134.14000001-23229.83</f>
        <v>7977904.31000001</v>
      </c>
      <c r="E105" s="14">
        <f t="shared" si="16"/>
        <v>0.3100660592663739</v>
      </c>
      <c r="F105" s="10">
        <v>483</v>
      </c>
      <c r="G105" s="14">
        <v>0.25995694294940797</v>
      </c>
      <c r="H105" s="8"/>
      <c r="I105" s="8"/>
      <c r="J105" s="9">
        <v>7567406.759999993</v>
      </c>
      <c r="K105" s="14">
        <f t="shared" si="17"/>
        <v>0.3094285336167534</v>
      </c>
      <c r="L105" s="10">
        <v>464</v>
      </c>
      <c r="M105" s="14">
        <f t="shared" si="18"/>
        <v>0.25936277249860257</v>
      </c>
      <c r="N105" s="56"/>
      <c r="O105" s="55"/>
      <c r="P105" s="14">
        <v>0.25936277249860257</v>
      </c>
      <c r="Q105" s="9">
        <v>18249276.060000006</v>
      </c>
      <c r="R105" s="14">
        <v>0.3093156021394436</v>
      </c>
      <c r="S105" s="10">
        <v>1051</v>
      </c>
      <c r="T105" s="14">
        <v>0.25053635280095354</v>
      </c>
      <c r="U105" s="56"/>
      <c r="V105" s="9">
        <v>19214813.900000006</v>
      </c>
      <c r="W105" s="14">
        <v>0.30386231427747973</v>
      </c>
      <c r="X105" s="10">
        <v>1111</v>
      </c>
      <c r="Y105" s="14">
        <v>0.25215615070358605</v>
      </c>
      <c r="Z105" s="56"/>
      <c r="AA105" s="9">
        <v>19555302.06000001</v>
      </c>
      <c r="AB105" s="14">
        <v>0.3026688031608028</v>
      </c>
      <c r="AC105" s="10">
        <v>1125</v>
      </c>
      <c r="AD105" s="14">
        <v>0.2515090543259557</v>
      </c>
      <c r="AE105" s="56"/>
      <c r="AF105" s="9">
        <v>16732425.520000018</v>
      </c>
      <c r="AG105" s="14">
        <v>0.2992726427785663</v>
      </c>
      <c r="AH105" s="10">
        <v>1079</v>
      </c>
      <c r="AI105" s="14">
        <v>0.26901022188980306</v>
      </c>
      <c r="AJ105" s="56"/>
      <c r="AK105" s="9">
        <v>13236353.770000005</v>
      </c>
      <c r="AL105" s="14">
        <v>0.2877453671596589</v>
      </c>
      <c r="AM105" s="10">
        <v>953</v>
      </c>
      <c r="AN105" s="14">
        <v>0.2733792312105565</v>
      </c>
      <c r="AO105" s="56"/>
      <c r="AP105" s="9">
        <v>20462377.670000017</v>
      </c>
      <c r="AQ105" s="14">
        <v>0.28073725763990315</v>
      </c>
      <c r="AR105" s="10">
        <v>1222</v>
      </c>
      <c r="AS105" s="14">
        <v>0.27119396360408343</v>
      </c>
      <c r="AT105" s="56"/>
      <c r="AU105" s="9">
        <v>18513463.619999986</v>
      </c>
      <c r="AV105" s="14">
        <v>0.27962673361663715</v>
      </c>
      <c r="AW105" s="10">
        <v>879</v>
      </c>
      <c r="AX105" s="14">
        <v>0.22766122766122765</v>
      </c>
      <c r="AY105" s="56"/>
      <c r="AZ105" s="9">
        <v>18275589.399999987</v>
      </c>
      <c r="BA105" s="14">
        <v>0.2806738909760403</v>
      </c>
      <c r="BB105" s="10">
        <v>832</v>
      </c>
      <c r="BC105" s="14">
        <v>0.22523010286951814</v>
      </c>
      <c r="BD105" s="56"/>
      <c r="BE105" s="9">
        <v>25068754.349999998</v>
      </c>
      <c r="BF105" s="14">
        <v>0.27846149565763006</v>
      </c>
      <c r="BG105" s="10">
        <v>1049</v>
      </c>
      <c r="BH105" s="14">
        <v>0.22710543407663997</v>
      </c>
      <c r="BI105" s="56"/>
      <c r="BJ105" s="9">
        <v>27274648.33999999</v>
      </c>
      <c r="BK105" s="14">
        <v>0.2862218912407656</v>
      </c>
      <c r="BL105" s="10">
        <v>1107</v>
      </c>
      <c r="BM105" s="14">
        <v>0.23448421944503284</v>
      </c>
      <c r="BN105" s="56"/>
      <c r="BO105" s="9">
        <v>28110520.39999999</v>
      </c>
      <c r="BP105" s="14">
        <v>0.28425700884594973</v>
      </c>
      <c r="BQ105" s="10">
        <v>1109</v>
      </c>
      <c r="BR105" s="14">
        <v>0.23317914213624896</v>
      </c>
      <c r="BS105" s="56"/>
      <c r="BT105" s="9">
        <v>28848472.96999997</v>
      </c>
      <c r="BU105" s="14">
        <v>0.2802728065366768</v>
      </c>
      <c r="BV105" s="10">
        <v>1120</v>
      </c>
      <c r="BW105" s="14">
        <v>0.2342606149341142</v>
      </c>
      <c r="BX105" s="56"/>
      <c r="BY105" s="9">
        <v>30446266.600000005</v>
      </c>
      <c r="BZ105" s="14">
        <v>0.28197312740682445</v>
      </c>
      <c r="CA105" s="10">
        <v>1154</v>
      </c>
      <c r="CB105" s="14">
        <v>0.23877508793709912</v>
      </c>
      <c r="CC105" s="56"/>
    </row>
    <row r="106" spans="1:81" ht="12.75">
      <c r="A106" s="8" t="s">
        <v>37</v>
      </c>
      <c r="B106" s="8"/>
      <c r="C106" s="8"/>
      <c r="D106" s="9">
        <v>2567724.64</v>
      </c>
      <c r="E106" s="14">
        <f t="shared" si="16"/>
        <v>0.0997961656932894</v>
      </c>
      <c r="F106" s="10">
        <v>187</v>
      </c>
      <c r="G106" s="14">
        <v>0.10064585575888052</v>
      </c>
      <c r="H106" s="8"/>
      <c r="I106" s="8"/>
      <c r="J106" s="9">
        <v>2407049.88</v>
      </c>
      <c r="K106" s="14">
        <f t="shared" si="17"/>
        <v>0.09842340161331342</v>
      </c>
      <c r="L106" s="10">
        <v>178</v>
      </c>
      <c r="M106" s="14">
        <f t="shared" si="18"/>
        <v>0.09949692565679151</v>
      </c>
      <c r="N106" s="56"/>
      <c r="O106" s="55"/>
      <c r="P106" s="14">
        <v>0.09949692565679151</v>
      </c>
      <c r="Q106" s="9">
        <v>5723566.79</v>
      </c>
      <c r="R106" s="14">
        <v>0.09701143772572049</v>
      </c>
      <c r="S106" s="10">
        <v>397</v>
      </c>
      <c r="T106" s="14">
        <v>0.09463647199046483</v>
      </c>
      <c r="U106" s="56"/>
      <c r="V106" s="9">
        <v>6024664.980000008</v>
      </c>
      <c r="W106" s="14">
        <v>0.09527381597847731</v>
      </c>
      <c r="X106" s="10">
        <v>404</v>
      </c>
      <c r="Y106" s="14">
        <v>0.09169314571039491</v>
      </c>
      <c r="Z106" s="56"/>
      <c r="AA106" s="9">
        <v>5875023.199999997</v>
      </c>
      <c r="AB106" s="14">
        <v>0.0909311569327888</v>
      </c>
      <c r="AC106" s="10">
        <v>387</v>
      </c>
      <c r="AD106" s="14">
        <v>0.08651911468812877</v>
      </c>
      <c r="AE106" s="56"/>
      <c r="AF106" s="9">
        <v>5171327.840000005</v>
      </c>
      <c r="AG106" s="14">
        <v>0.09249328183181268</v>
      </c>
      <c r="AH106" s="10">
        <v>329</v>
      </c>
      <c r="AI106" s="14">
        <v>0.08202443280977312</v>
      </c>
      <c r="AJ106" s="56"/>
      <c r="AK106" s="9">
        <v>4179823.79</v>
      </c>
      <c r="AL106" s="14">
        <v>0.09086527543878323</v>
      </c>
      <c r="AM106" s="10">
        <v>275</v>
      </c>
      <c r="AN106" s="14">
        <v>0.07888697647733792</v>
      </c>
      <c r="AO106" s="56"/>
      <c r="AP106" s="9">
        <v>6121552.349999998</v>
      </c>
      <c r="AQ106" s="14">
        <v>0.08398573454920023</v>
      </c>
      <c r="AR106" s="10">
        <v>339</v>
      </c>
      <c r="AS106" s="14">
        <v>0.07523302263648468</v>
      </c>
      <c r="AT106" s="56"/>
      <c r="AU106" s="9">
        <v>5370834.600000004</v>
      </c>
      <c r="AV106" s="14">
        <v>0.08112090567271281</v>
      </c>
      <c r="AW106" s="10">
        <v>297</v>
      </c>
      <c r="AX106" s="14">
        <v>0.07692307692307693</v>
      </c>
      <c r="AY106" s="56"/>
      <c r="AZ106" s="9">
        <v>5083013.86</v>
      </c>
      <c r="BA106" s="14">
        <v>0.07806420065288529</v>
      </c>
      <c r="BB106" s="10">
        <v>277</v>
      </c>
      <c r="BC106" s="14">
        <v>0.07498646453708717</v>
      </c>
      <c r="BD106" s="56"/>
      <c r="BE106" s="9">
        <v>6581614.029999999</v>
      </c>
      <c r="BF106" s="14">
        <v>0.07310798378919223</v>
      </c>
      <c r="BG106" s="10">
        <v>333</v>
      </c>
      <c r="BH106" s="14">
        <v>0.07209352673738904</v>
      </c>
      <c r="BI106" s="56"/>
      <c r="BJ106" s="9">
        <v>7075640.669999997</v>
      </c>
      <c r="BK106" s="14">
        <v>0.07425222239574722</v>
      </c>
      <c r="BL106" s="10">
        <v>338</v>
      </c>
      <c r="BM106" s="14">
        <v>0.07159500105909765</v>
      </c>
      <c r="BN106" s="56"/>
      <c r="BO106" s="9">
        <v>7308865.590000002</v>
      </c>
      <c r="BP106" s="14">
        <v>0.07390813976786031</v>
      </c>
      <c r="BQ106" s="10">
        <v>338</v>
      </c>
      <c r="BR106" s="14">
        <v>0.0710681244743482</v>
      </c>
      <c r="BS106" s="56"/>
      <c r="BT106" s="9">
        <v>8058984.750000001</v>
      </c>
      <c r="BU106" s="14">
        <v>0.07829580013013705</v>
      </c>
      <c r="BV106" s="10">
        <v>363</v>
      </c>
      <c r="BW106" s="14">
        <v>0.07592553859025308</v>
      </c>
      <c r="BX106" s="56"/>
      <c r="BY106" s="9">
        <v>8423965.720000012</v>
      </c>
      <c r="BZ106" s="14">
        <v>0.07801718320486245</v>
      </c>
      <c r="CA106" s="10">
        <v>370</v>
      </c>
      <c r="CB106" s="14">
        <v>0.0765570039313056</v>
      </c>
      <c r="CC106" s="56"/>
    </row>
    <row r="107" spans="1:81" ht="12.75">
      <c r="A107" s="8" t="s">
        <v>38</v>
      </c>
      <c r="B107" s="8"/>
      <c r="C107" s="8"/>
      <c r="D107" s="9">
        <v>1148297.13</v>
      </c>
      <c r="E107" s="14">
        <f t="shared" si="16"/>
        <v>0.04462926003257447</v>
      </c>
      <c r="F107" s="10">
        <v>67</v>
      </c>
      <c r="G107" s="14">
        <v>0.03606027987082885</v>
      </c>
      <c r="H107" s="8"/>
      <c r="I107" s="8"/>
      <c r="J107" s="9">
        <v>1078602.3</v>
      </c>
      <c r="K107" s="14">
        <f t="shared" si="17"/>
        <v>0.04410365910404132</v>
      </c>
      <c r="L107" s="10">
        <v>66</v>
      </c>
      <c r="M107" s="14">
        <f t="shared" si="18"/>
        <v>0.0368921185019564</v>
      </c>
      <c r="N107" s="56"/>
      <c r="O107" s="55"/>
      <c r="P107" s="14">
        <v>0.0368921185019564</v>
      </c>
      <c r="Q107" s="9">
        <v>2372910.43</v>
      </c>
      <c r="R107" s="14">
        <v>0.04021958000225549</v>
      </c>
      <c r="S107" s="10">
        <v>131</v>
      </c>
      <c r="T107" s="14">
        <v>0.031227651966626937</v>
      </c>
      <c r="U107" s="56"/>
      <c r="V107" s="9">
        <v>2658475.33</v>
      </c>
      <c r="W107" s="14">
        <v>0.04204102472329367</v>
      </c>
      <c r="X107" s="10">
        <v>136</v>
      </c>
      <c r="Y107" s="14">
        <v>0.030866999546073536</v>
      </c>
      <c r="Z107" s="56"/>
      <c r="AA107" s="9">
        <v>2660009.25</v>
      </c>
      <c r="AB107" s="14">
        <v>0.041170512918897055</v>
      </c>
      <c r="AC107" s="10">
        <v>137</v>
      </c>
      <c r="AD107" s="14">
        <v>0.030628213726805277</v>
      </c>
      <c r="AE107" s="56"/>
      <c r="AF107" s="9">
        <v>2148308.68</v>
      </c>
      <c r="AG107" s="14">
        <v>0.038424197101564764</v>
      </c>
      <c r="AH107" s="10">
        <v>113</v>
      </c>
      <c r="AI107" s="14">
        <v>0.028172525554724506</v>
      </c>
      <c r="AJ107" s="56"/>
      <c r="AK107" s="9">
        <v>1693933.17</v>
      </c>
      <c r="AL107" s="14">
        <v>0.03682444806290297</v>
      </c>
      <c r="AM107" s="10">
        <v>94</v>
      </c>
      <c r="AN107" s="14">
        <v>0.026965002868617326</v>
      </c>
      <c r="AO107" s="56"/>
      <c r="AP107" s="9">
        <v>2624815.97</v>
      </c>
      <c r="AQ107" s="14">
        <v>0.03601163311082714</v>
      </c>
      <c r="AR107" s="10">
        <v>118</v>
      </c>
      <c r="AS107" s="14">
        <v>0.026187305814469597</v>
      </c>
      <c r="AT107" s="56"/>
      <c r="AU107" s="9">
        <v>2466737.27</v>
      </c>
      <c r="AV107" s="14">
        <v>0.03725751699727169</v>
      </c>
      <c r="AW107" s="10">
        <v>111</v>
      </c>
      <c r="AX107" s="14">
        <v>0.028749028749028748</v>
      </c>
      <c r="AY107" s="56"/>
      <c r="AZ107" s="9">
        <v>2421856.39</v>
      </c>
      <c r="BA107" s="14">
        <v>0.03719452442756714</v>
      </c>
      <c r="BB107" s="10">
        <v>109</v>
      </c>
      <c r="BC107" s="14">
        <v>0.02950730914997293</v>
      </c>
      <c r="BD107" s="56"/>
      <c r="BE107" s="9">
        <v>3407535.07</v>
      </c>
      <c r="BF107" s="14">
        <v>0.03785059675683597</v>
      </c>
      <c r="BG107" s="10">
        <v>141</v>
      </c>
      <c r="BH107" s="14">
        <v>0.03052608789781338</v>
      </c>
      <c r="BI107" s="56"/>
      <c r="BJ107" s="9">
        <v>3362396.53</v>
      </c>
      <c r="BK107" s="14">
        <v>0.035285202651231966</v>
      </c>
      <c r="BL107" s="10">
        <v>137</v>
      </c>
      <c r="BM107" s="14">
        <v>0.02901927557720822</v>
      </c>
      <c r="BN107" s="56"/>
      <c r="BO107" s="9">
        <v>3320698.46</v>
      </c>
      <c r="BP107" s="14">
        <v>0.03357930760751595</v>
      </c>
      <c r="BQ107" s="10">
        <v>137</v>
      </c>
      <c r="BR107" s="14">
        <v>0.028805719091673676</v>
      </c>
      <c r="BS107" s="56"/>
      <c r="BT107" s="9">
        <v>3726913.16</v>
      </c>
      <c r="BU107" s="14">
        <v>0.03620823924226155</v>
      </c>
      <c r="BV107" s="10">
        <v>148</v>
      </c>
      <c r="BW107" s="14">
        <v>0.03095586697343652</v>
      </c>
      <c r="BX107" s="56"/>
      <c r="BY107" s="9">
        <v>4086778.53</v>
      </c>
      <c r="BZ107" s="14">
        <v>0.03784903214120724</v>
      </c>
      <c r="CA107" s="10">
        <v>155</v>
      </c>
      <c r="CB107" s="14">
        <v>0.032071177322573974</v>
      </c>
      <c r="CC107" s="56"/>
    </row>
    <row r="108" spans="1:81" ht="12.75">
      <c r="A108" s="8" t="s">
        <v>39</v>
      </c>
      <c r="B108" s="8"/>
      <c r="C108" s="8"/>
      <c r="D108" s="9">
        <v>1453061.58</v>
      </c>
      <c r="E108" s="14">
        <f t="shared" si="16"/>
        <v>0.05647411406241477</v>
      </c>
      <c r="F108" s="10">
        <v>117</v>
      </c>
      <c r="G108" s="14">
        <v>0.06297093649085038</v>
      </c>
      <c r="H108" s="8"/>
      <c r="I108" s="8"/>
      <c r="J108" s="9">
        <v>1404203.19</v>
      </c>
      <c r="K108" s="14">
        <f t="shared" si="17"/>
        <v>0.05741736208477152</v>
      </c>
      <c r="L108" s="10">
        <v>113</v>
      </c>
      <c r="M108" s="14">
        <f t="shared" si="18"/>
        <v>0.06316377864728899</v>
      </c>
      <c r="N108" s="56"/>
      <c r="O108" s="55"/>
      <c r="P108" s="14">
        <v>0.06316377864728899</v>
      </c>
      <c r="Q108" s="9">
        <v>3638120.7</v>
      </c>
      <c r="R108" s="14">
        <v>0.061664226639819575</v>
      </c>
      <c r="S108" s="10">
        <v>289</v>
      </c>
      <c r="T108" s="14">
        <v>0.06889153754469607</v>
      </c>
      <c r="U108" s="56"/>
      <c r="V108" s="9">
        <v>3824696.5</v>
      </c>
      <c r="W108" s="14">
        <v>0.060483600619154414</v>
      </c>
      <c r="X108" s="10">
        <v>302</v>
      </c>
      <c r="Y108" s="14">
        <v>0.06854289605083977</v>
      </c>
      <c r="Z108" s="56"/>
      <c r="AA108" s="9">
        <v>3835665.1</v>
      </c>
      <c r="AB108" s="14">
        <v>0.05936682346202839</v>
      </c>
      <c r="AC108" s="10">
        <v>311</v>
      </c>
      <c r="AD108" s="14">
        <v>0.06952828079588642</v>
      </c>
      <c r="AE108" s="56"/>
      <c r="AF108" s="9">
        <v>3409213.35</v>
      </c>
      <c r="AG108" s="14">
        <v>0.06097647276725891</v>
      </c>
      <c r="AH108" s="10">
        <v>275</v>
      </c>
      <c r="AI108" s="14">
        <v>0.06856145599601098</v>
      </c>
      <c r="AJ108" s="56"/>
      <c r="AK108" s="9">
        <v>2892880.16</v>
      </c>
      <c r="AL108" s="14">
        <v>0.06288838136638084</v>
      </c>
      <c r="AM108" s="10">
        <v>242</v>
      </c>
      <c r="AN108" s="14">
        <v>0.06942053930005737</v>
      </c>
      <c r="AO108" s="56"/>
      <c r="AP108" s="9">
        <v>4072780.83</v>
      </c>
      <c r="AQ108" s="14">
        <v>0.05587724650683606</v>
      </c>
      <c r="AR108" s="10">
        <v>276</v>
      </c>
      <c r="AS108" s="14">
        <v>0.06125166444740346</v>
      </c>
      <c r="AT108" s="56"/>
      <c r="AU108" s="9">
        <v>3544673.5</v>
      </c>
      <c r="AV108" s="14">
        <v>0.053538629663640105</v>
      </c>
      <c r="AW108" s="10">
        <v>244</v>
      </c>
      <c r="AX108" s="14">
        <v>0.06319606319606319</v>
      </c>
      <c r="AY108" s="56"/>
      <c r="AZ108" s="9">
        <v>3521758.88</v>
      </c>
      <c r="BA108" s="14">
        <v>0.054086669726177074</v>
      </c>
      <c r="BB108" s="10">
        <v>235</v>
      </c>
      <c r="BC108" s="14">
        <v>0.06361667569030861</v>
      </c>
      <c r="BD108" s="56"/>
      <c r="BE108" s="9">
        <v>4982350.6</v>
      </c>
      <c r="BF108" s="14">
        <v>0.055343507722659994</v>
      </c>
      <c r="BG108" s="10">
        <v>295</v>
      </c>
      <c r="BH108" s="14">
        <v>0.06386663780038969</v>
      </c>
      <c r="BI108" s="56"/>
      <c r="BJ108" s="9">
        <v>5200116.21</v>
      </c>
      <c r="BK108" s="14">
        <v>0.05457034964279076</v>
      </c>
      <c r="BL108" s="10">
        <v>298</v>
      </c>
      <c r="BM108" s="14">
        <v>0.06312221986867189</v>
      </c>
      <c r="BN108" s="56"/>
      <c r="BO108" s="9">
        <v>5271150.6</v>
      </c>
      <c r="BP108" s="14">
        <v>0.053302517399590174</v>
      </c>
      <c r="BQ108" s="10">
        <v>288</v>
      </c>
      <c r="BR108" s="14">
        <v>0.060555088309503784</v>
      </c>
      <c r="BS108" s="56"/>
      <c r="BT108" s="9">
        <v>5195593.77</v>
      </c>
      <c r="BU108" s="14">
        <v>0.05047697495311742</v>
      </c>
      <c r="BV108" s="10">
        <v>281</v>
      </c>
      <c r="BW108" s="14">
        <v>0.05877431499686258</v>
      </c>
      <c r="BX108" s="56"/>
      <c r="BY108" s="9">
        <v>5493604.279999998</v>
      </c>
      <c r="BZ108" s="14">
        <v>0.050878119144076445</v>
      </c>
      <c r="CA108" s="10">
        <v>277</v>
      </c>
      <c r="CB108" s="14">
        <v>0.057314297537761225</v>
      </c>
      <c r="CC108" s="56"/>
    </row>
    <row r="109" spans="1:81" ht="12.75">
      <c r="A109" s="8" t="s">
        <v>40</v>
      </c>
      <c r="B109" s="8"/>
      <c r="C109" s="8"/>
      <c r="D109" s="9">
        <v>1743297.11</v>
      </c>
      <c r="E109" s="14">
        <f t="shared" si="16"/>
        <v>0.06775429285991996</v>
      </c>
      <c r="F109" s="10">
        <v>159</v>
      </c>
      <c r="G109" s="14">
        <v>0.08557588805166846</v>
      </c>
      <c r="H109" s="8"/>
      <c r="I109" s="8"/>
      <c r="J109" s="9">
        <v>1662635.61</v>
      </c>
      <c r="K109" s="14">
        <f t="shared" si="17"/>
        <v>0.06798457054808783</v>
      </c>
      <c r="L109" s="10">
        <v>153</v>
      </c>
      <c r="M109" s="14">
        <f t="shared" si="18"/>
        <v>0.08552263834544438</v>
      </c>
      <c r="N109" s="56"/>
      <c r="O109" s="55"/>
      <c r="P109" s="14">
        <v>0.08552263834544438</v>
      </c>
      <c r="Q109" s="9">
        <v>4740766.22</v>
      </c>
      <c r="R109" s="14">
        <v>0.08035348652299538</v>
      </c>
      <c r="S109" s="10">
        <v>414</v>
      </c>
      <c r="T109" s="14">
        <v>0.09868891537544697</v>
      </c>
      <c r="U109" s="56"/>
      <c r="V109" s="9">
        <v>5469302.700000006</v>
      </c>
      <c r="W109" s="14">
        <v>0.0864913386387817</v>
      </c>
      <c r="X109" s="10">
        <v>469</v>
      </c>
      <c r="Y109" s="14">
        <v>0.10644575578756242</v>
      </c>
      <c r="Z109" s="56"/>
      <c r="AA109" s="9">
        <v>5674976.649999997</v>
      </c>
      <c r="AB109" s="14">
        <v>0.08783491992866718</v>
      </c>
      <c r="AC109" s="10">
        <v>487</v>
      </c>
      <c r="AD109" s="14">
        <v>0.10887547507265817</v>
      </c>
      <c r="AE109" s="56"/>
      <c r="AF109" s="9">
        <v>5184726.46</v>
      </c>
      <c r="AG109" s="14">
        <v>0.09273292673040737</v>
      </c>
      <c r="AH109" s="10">
        <v>453</v>
      </c>
      <c r="AI109" s="14">
        <v>0.11293941660433807</v>
      </c>
      <c r="AJ109" s="56"/>
      <c r="AK109" s="9">
        <v>4698483.27</v>
      </c>
      <c r="AL109" s="14">
        <v>0.10214042455437218</v>
      </c>
      <c r="AM109" s="10">
        <v>425</v>
      </c>
      <c r="AN109" s="14">
        <v>0.1219162363740677</v>
      </c>
      <c r="AO109" s="56"/>
      <c r="AP109" s="9">
        <v>7579783.090000006</v>
      </c>
      <c r="AQ109" s="14">
        <v>0.10399219252568469</v>
      </c>
      <c r="AR109" s="10">
        <v>547</v>
      </c>
      <c r="AS109" s="14">
        <v>0.1213936972924989</v>
      </c>
      <c r="AT109" s="56"/>
      <c r="AU109" s="9">
        <v>7090440.849999999</v>
      </c>
      <c r="AV109" s="14">
        <v>0.10709378080099488</v>
      </c>
      <c r="AW109" s="10">
        <v>508</v>
      </c>
      <c r="AX109" s="14">
        <v>0.13157213157213157</v>
      </c>
      <c r="AY109" s="56"/>
      <c r="AZ109" s="9">
        <v>7238569.709999999</v>
      </c>
      <c r="BA109" s="14">
        <v>0.11116891943342788</v>
      </c>
      <c r="BB109" s="10">
        <v>502</v>
      </c>
      <c r="BC109" s="14">
        <v>0.13589604764482946</v>
      </c>
      <c r="BD109" s="56"/>
      <c r="BE109" s="9">
        <v>9368337.829999987</v>
      </c>
      <c r="BF109" s="14">
        <v>0.10406266412546154</v>
      </c>
      <c r="BG109" s="10">
        <v>582</v>
      </c>
      <c r="BH109" s="14">
        <v>0.12600129898246373</v>
      </c>
      <c r="BI109" s="56"/>
      <c r="BJ109" s="9">
        <v>10048623.78000003</v>
      </c>
      <c r="BK109" s="14">
        <v>0.10545089589516374</v>
      </c>
      <c r="BL109" s="10">
        <v>602</v>
      </c>
      <c r="BM109" s="14">
        <v>0.12751535691590765</v>
      </c>
      <c r="BN109" s="56"/>
      <c r="BO109" s="9">
        <v>10610124.659999998</v>
      </c>
      <c r="BP109" s="14">
        <v>0.10729087389411153</v>
      </c>
      <c r="BQ109" s="10">
        <v>616</v>
      </c>
      <c r="BR109" s="14">
        <v>0.1295206055508831</v>
      </c>
      <c r="BS109" s="56"/>
      <c r="BT109" s="9">
        <v>10748834.23</v>
      </c>
      <c r="BU109" s="14">
        <v>0.10442861013033379</v>
      </c>
      <c r="BV109" s="10">
        <v>599</v>
      </c>
      <c r="BW109" s="14">
        <v>0.12528759673708428</v>
      </c>
      <c r="BX109" s="56"/>
      <c r="BY109" s="9">
        <v>11611296.36</v>
      </c>
      <c r="BZ109" s="14">
        <v>0.10753612555822119</v>
      </c>
      <c r="CA109" s="10">
        <v>606</v>
      </c>
      <c r="CB109" s="14">
        <v>0.12538795779019243</v>
      </c>
      <c r="CC109" s="56"/>
    </row>
    <row r="110" spans="1:81" ht="12.75">
      <c r="A110" s="8" t="s">
        <v>41</v>
      </c>
      <c r="B110" s="8"/>
      <c r="C110" s="8"/>
      <c r="D110" s="9">
        <v>0</v>
      </c>
      <c r="E110" s="14">
        <f t="shared" si="16"/>
        <v>0</v>
      </c>
      <c r="F110" s="10">
        <v>0</v>
      </c>
      <c r="G110" s="14">
        <v>0</v>
      </c>
      <c r="H110" s="8"/>
      <c r="I110" s="8"/>
      <c r="J110" s="9">
        <v>0</v>
      </c>
      <c r="K110" s="14">
        <f t="shared" si="17"/>
        <v>0</v>
      </c>
      <c r="L110" s="10">
        <v>0</v>
      </c>
      <c r="M110" s="14">
        <f t="shared" si="18"/>
        <v>0</v>
      </c>
      <c r="N110" s="56"/>
      <c r="O110" s="55"/>
      <c r="P110" s="14">
        <v>0</v>
      </c>
      <c r="Q110" s="9">
        <v>0</v>
      </c>
      <c r="R110" s="14">
        <v>0</v>
      </c>
      <c r="S110" s="10">
        <v>0</v>
      </c>
      <c r="T110" s="14">
        <v>0</v>
      </c>
      <c r="U110" s="56"/>
      <c r="V110" s="9">
        <v>0</v>
      </c>
      <c r="W110" s="14">
        <v>0</v>
      </c>
      <c r="X110" s="10">
        <v>0</v>
      </c>
      <c r="Y110" s="14">
        <v>0</v>
      </c>
      <c r="Z110" s="56"/>
      <c r="AA110" s="9">
        <v>0</v>
      </c>
      <c r="AB110" s="14">
        <v>0</v>
      </c>
      <c r="AC110" s="10">
        <v>0</v>
      </c>
      <c r="AD110" s="14">
        <v>0</v>
      </c>
      <c r="AE110" s="56"/>
      <c r="AF110" s="9">
        <v>0</v>
      </c>
      <c r="AG110" s="14">
        <v>0</v>
      </c>
      <c r="AH110" s="10">
        <v>0</v>
      </c>
      <c r="AI110" s="14">
        <v>0</v>
      </c>
      <c r="AJ110" s="56"/>
      <c r="AK110" s="9">
        <v>0</v>
      </c>
      <c r="AL110" s="14">
        <v>0</v>
      </c>
      <c r="AM110" s="10">
        <v>0</v>
      </c>
      <c r="AN110" s="14">
        <v>0</v>
      </c>
      <c r="AO110" s="56"/>
      <c r="AP110" s="9">
        <v>0</v>
      </c>
      <c r="AQ110" s="14">
        <v>0</v>
      </c>
      <c r="AR110" s="10">
        <v>0</v>
      </c>
      <c r="AS110" s="14">
        <v>0</v>
      </c>
      <c r="AT110" s="56"/>
      <c r="AU110" s="9">
        <v>0</v>
      </c>
      <c r="AV110" s="14">
        <v>0</v>
      </c>
      <c r="AW110" s="10">
        <v>0</v>
      </c>
      <c r="AX110" s="14">
        <v>0</v>
      </c>
      <c r="AY110" s="56"/>
      <c r="AZ110" s="9">
        <v>0</v>
      </c>
      <c r="BA110" s="14">
        <v>0</v>
      </c>
      <c r="BB110" s="10">
        <v>0</v>
      </c>
      <c r="BC110" s="14">
        <v>0</v>
      </c>
      <c r="BD110" s="56"/>
      <c r="BE110" s="9">
        <v>0</v>
      </c>
      <c r="BF110" s="14">
        <v>0</v>
      </c>
      <c r="BG110" s="10">
        <v>0</v>
      </c>
      <c r="BH110" s="14">
        <v>0</v>
      </c>
      <c r="BI110" s="56"/>
      <c r="BJ110" s="9">
        <v>0</v>
      </c>
      <c r="BK110" s="14">
        <v>0</v>
      </c>
      <c r="BL110" s="10">
        <v>0</v>
      </c>
      <c r="BM110" s="14">
        <v>0</v>
      </c>
      <c r="BN110" s="56"/>
      <c r="BO110" s="9">
        <v>0</v>
      </c>
      <c r="BP110" s="14">
        <v>0</v>
      </c>
      <c r="BQ110" s="10">
        <v>0</v>
      </c>
      <c r="BR110" s="14">
        <v>0</v>
      </c>
      <c r="BS110" s="56"/>
      <c r="BT110" s="9">
        <v>0</v>
      </c>
      <c r="BU110" s="14">
        <v>0</v>
      </c>
      <c r="BV110" s="10">
        <v>0</v>
      </c>
      <c r="BW110" s="14">
        <v>0</v>
      </c>
      <c r="BX110" s="56"/>
      <c r="BY110" s="9">
        <v>0</v>
      </c>
      <c r="BZ110" s="14">
        <v>0</v>
      </c>
      <c r="CA110" s="10">
        <v>0</v>
      </c>
      <c r="CB110" s="14">
        <v>0</v>
      </c>
      <c r="CC110" s="56"/>
    </row>
    <row r="111" spans="1:81" ht="12.75">
      <c r="A111" s="8"/>
      <c r="B111" s="8"/>
      <c r="C111" s="8"/>
      <c r="D111" s="9"/>
      <c r="E111" s="8"/>
      <c r="F111" s="10"/>
      <c r="G111" s="8"/>
      <c r="H111" s="8"/>
      <c r="I111" s="8"/>
      <c r="J111" s="9">
        <v>0</v>
      </c>
      <c r="K111" s="14">
        <f t="shared" si="17"/>
        <v>0</v>
      </c>
      <c r="L111" s="10">
        <v>0</v>
      </c>
      <c r="M111" s="14">
        <f t="shared" si="18"/>
        <v>0</v>
      </c>
      <c r="N111" s="56"/>
      <c r="O111" s="55"/>
      <c r="P111" s="14">
        <v>0</v>
      </c>
      <c r="Q111" s="9">
        <v>0</v>
      </c>
      <c r="R111" s="14">
        <v>0</v>
      </c>
      <c r="S111" s="10">
        <v>0</v>
      </c>
      <c r="T111" s="14">
        <v>0</v>
      </c>
      <c r="U111" s="56"/>
      <c r="V111" s="9">
        <v>0</v>
      </c>
      <c r="W111" s="14">
        <v>0</v>
      </c>
      <c r="X111" s="10">
        <v>0</v>
      </c>
      <c r="Y111" s="14">
        <v>0</v>
      </c>
      <c r="Z111" s="56"/>
      <c r="AA111" s="9">
        <v>0</v>
      </c>
      <c r="AB111" s="14">
        <v>0</v>
      </c>
      <c r="AC111" s="10">
        <v>0</v>
      </c>
      <c r="AD111" s="14">
        <v>0</v>
      </c>
      <c r="AE111" s="56"/>
      <c r="AF111" s="9">
        <v>0</v>
      </c>
      <c r="AG111" s="14">
        <v>0</v>
      </c>
      <c r="AH111" s="10">
        <v>0</v>
      </c>
      <c r="AI111" s="14">
        <v>0</v>
      </c>
      <c r="AJ111" s="56"/>
      <c r="AK111" s="9">
        <v>0</v>
      </c>
      <c r="AL111" s="14">
        <v>0</v>
      </c>
      <c r="AM111" s="10">
        <v>0</v>
      </c>
      <c r="AN111" s="14">
        <v>0</v>
      </c>
      <c r="AO111" s="56"/>
      <c r="AP111" s="9">
        <v>0</v>
      </c>
      <c r="AQ111" s="14">
        <v>0</v>
      </c>
      <c r="AR111" s="10">
        <v>0</v>
      </c>
      <c r="AS111" s="14">
        <v>0</v>
      </c>
      <c r="AT111" s="56"/>
      <c r="AU111" s="9">
        <v>0</v>
      </c>
      <c r="AV111" s="14">
        <v>0</v>
      </c>
      <c r="AW111" s="10">
        <v>0</v>
      </c>
      <c r="AX111" s="14">
        <v>0</v>
      </c>
      <c r="AY111" s="56"/>
      <c r="AZ111" s="9">
        <v>0</v>
      </c>
      <c r="BA111" s="14">
        <v>0</v>
      </c>
      <c r="BB111" s="10">
        <v>0</v>
      </c>
      <c r="BC111" s="14">
        <v>0</v>
      </c>
      <c r="BD111" s="56"/>
      <c r="BE111" s="9">
        <v>0</v>
      </c>
      <c r="BF111" s="14">
        <v>0</v>
      </c>
      <c r="BG111" s="10">
        <v>0</v>
      </c>
      <c r="BH111" s="14">
        <v>0</v>
      </c>
      <c r="BI111" s="56"/>
      <c r="BJ111" s="9">
        <v>0</v>
      </c>
      <c r="BK111" s="14">
        <v>0</v>
      </c>
      <c r="BL111" s="10">
        <v>0</v>
      </c>
      <c r="BM111" s="14">
        <v>0</v>
      </c>
      <c r="BN111" s="56"/>
      <c r="BO111" s="9">
        <v>0</v>
      </c>
      <c r="BP111" s="14">
        <v>0</v>
      </c>
      <c r="BQ111" s="10">
        <v>0</v>
      </c>
      <c r="BR111" s="14">
        <v>0</v>
      </c>
      <c r="BS111" s="56"/>
      <c r="BT111" s="9">
        <v>0</v>
      </c>
      <c r="BU111" s="14">
        <v>0</v>
      </c>
      <c r="BV111" s="10">
        <v>0</v>
      </c>
      <c r="BW111" s="14">
        <v>0</v>
      </c>
      <c r="BX111" s="56"/>
      <c r="BY111" s="9">
        <v>0</v>
      </c>
      <c r="BZ111" s="14">
        <v>0</v>
      </c>
      <c r="CA111" s="10">
        <v>0</v>
      </c>
      <c r="CB111" s="14">
        <v>0</v>
      </c>
      <c r="CC111" s="56"/>
    </row>
    <row r="112" spans="1:81" ht="13.5" thickBot="1">
      <c r="A112" s="8"/>
      <c r="B112" s="12"/>
      <c r="C112" s="12"/>
      <c r="D112" s="21">
        <f>SUM(D99:D111)</f>
        <v>25729692.34000001</v>
      </c>
      <c r="E112" s="23"/>
      <c r="F112" s="22">
        <f>SUM(F99:F110)</f>
        <v>1858</v>
      </c>
      <c r="G112" s="23"/>
      <c r="H112" s="8"/>
      <c r="I112" s="8"/>
      <c r="J112" s="9"/>
      <c r="K112" s="8"/>
      <c r="L112" s="10"/>
      <c r="M112" s="63"/>
      <c r="N112" s="54"/>
      <c r="O112" s="55"/>
      <c r="P112" s="8"/>
      <c r="Q112" s="9"/>
      <c r="R112" s="8"/>
      <c r="S112" s="10"/>
      <c r="T112" s="63"/>
      <c r="U112" s="54"/>
      <c r="V112" s="9"/>
      <c r="W112" s="8"/>
      <c r="X112" s="10"/>
      <c r="Y112" s="63"/>
      <c r="Z112" s="54"/>
      <c r="AA112" s="9"/>
      <c r="AB112" s="8"/>
      <c r="AC112" s="10"/>
      <c r="AD112" s="63"/>
      <c r="AE112" s="54"/>
      <c r="AF112" s="9"/>
      <c r="AG112" s="8"/>
      <c r="AH112" s="10"/>
      <c r="AI112" s="63"/>
      <c r="AJ112" s="54"/>
      <c r="AK112" s="9"/>
      <c r="AL112" s="8"/>
      <c r="AM112" s="10"/>
      <c r="AN112" s="63"/>
      <c r="AO112" s="54"/>
      <c r="AP112" s="9"/>
      <c r="AQ112" s="8"/>
      <c r="AR112" s="10"/>
      <c r="AS112" s="63"/>
      <c r="AT112" s="54"/>
      <c r="AU112" s="9"/>
      <c r="AV112" s="8"/>
      <c r="AW112" s="10"/>
      <c r="AX112" s="63"/>
      <c r="AY112" s="54"/>
      <c r="AZ112" s="9"/>
      <c r="BA112" s="8"/>
      <c r="BB112" s="10"/>
      <c r="BC112" s="63"/>
      <c r="BD112" s="54"/>
      <c r="BE112" s="9"/>
      <c r="BF112" s="8"/>
      <c r="BG112" s="10"/>
      <c r="BH112" s="63"/>
      <c r="BI112" s="54"/>
      <c r="BJ112" s="9"/>
      <c r="BK112" s="8"/>
      <c r="BL112" s="10"/>
      <c r="BM112" s="63"/>
      <c r="BN112" s="54"/>
      <c r="BO112" s="9"/>
      <c r="BP112" s="8"/>
      <c r="BQ112" s="10"/>
      <c r="BR112" s="63"/>
      <c r="BS112" s="54"/>
      <c r="BT112" s="9"/>
      <c r="BU112" s="8"/>
      <c r="BV112" s="10"/>
      <c r="BW112" s="63"/>
      <c r="BX112" s="54"/>
      <c r="BY112" s="9"/>
      <c r="BZ112" s="8"/>
      <c r="CA112" s="10"/>
      <c r="CB112" s="63"/>
      <c r="CC112" s="54"/>
    </row>
    <row r="113" spans="1:81" ht="14.25" thickBot="1" thickTop="1">
      <c r="A113" s="8"/>
      <c r="B113" s="8"/>
      <c r="C113" s="8"/>
      <c r="D113" s="9"/>
      <c r="E113" s="8"/>
      <c r="F113" s="10"/>
      <c r="G113" s="8"/>
      <c r="H113" s="8"/>
      <c r="I113" s="8"/>
      <c r="J113" s="21">
        <f>SUM(J99:J111)</f>
        <v>24456072.849999994</v>
      </c>
      <c r="K113" s="23"/>
      <c r="L113" s="22">
        <f>SUM(L99:L111)</f>
        <v>1789</v>
      </c>
      <c r="M113" s="30"/>
      <c r="N113" s="57"/>
      <c r="O113" s="31"/>
      <c r="P113" s="23"/>
      <c r="Q113" s="21">
        <f>SUM(Q99:Q111)</f>
        <v>58998886.36</v>
      </c>
      <c r="R113" s="23"/>
      <c r="S113" s="22">
        <f>SUM(S99:S111)</f>
        <v>4195</v>
      </c>
      <c r="T113" s="30"/>
      <c r="U113" s="57"/>
      <c r="V113" s="21">
        <f>SUM(V99:V111)</f>
        <v>63235264.78</v>
      </c>
      <c r="W113" s="23"/>
      <c r="X113" s="22">
        <f>SUM(X99:X111)</f>
        <v>4406</v>
      </c>
      <c r="Y113" s="30"/>
      <c r="Z113" s="57"/>
      <c r="AA113" s="21">
        <f>SUM(AA99:AA111)</f>
        <v>64609572.760000005</v>
      </c>
      <c r="AB113" s="23"/>
      <c r="AC113" s="22">
        <f>SUM(AC99:AC111)</f>
        <v>4473</v>
      </c>
      <c r="AD113" s="30"/>
      <c r="AE113" s="57"/>
      <c r="AF113" s="21">
        <f>SUM(AF99:AF111)</f>
        <v>55910307.62000001</v>
      </c>
      <c r="AG113" s="23"/>
      <c r="AH113" s="22">
        <f>SUM(AH99:AH111)</f>
        <v>4011</v>
      </c>
      <c r="AI113" s="30"/>
      <c r="AJ113" s="57"/>
      <c r="AK113" s="21">
        <f>SUM(AK99:AK111)</f>
        <v>46000232.43000001</v>
      </c>
      <c r="AL113" s="23"/>
      <c r="AM113" s="22">
        <f>SUM(AM99:AM111)</f>
        <v>3486</v>
      </c>
      <c r="AN113" s="30"/>
      <c r="AO113" s="57"/>
      <c r="AP113" s="21">
        <f>SUM(AP99:AP111)</f>
        <v>72888001.55000003</v>
      </c>
      <c r="AQ113" s="23"/>
      <c r="AR113" s="22">
        <f>SUM(AR99:AR111)</f>
        <v>4506</v>
      </c>
      <c r="AS113" s="30"/>
      <c r="AT113" s="57"/>
      <c r="AU113" s="21">
        <f>SUM(AU99:AU111)</f>
        <v>66207774.129999995</v>
      </c>
      <c r="AV113" s="23"/>
      <c r="AW113" s="22">
        <f>SUM(AW99:AW111)</f>
        <v>3861</v>
      </c>
      <c r="AX113" s="30"/>
      <c r="AY113" s="57"/>
      <c r="AZ113" s="21">
        <f>SUM(AZ99:AZ111)</f>
        <v>65113250.59999999</v>
      </c>
      <c r="BA113" s="23"/>
      <c r="BB113" s="22">
        <f>SUM(BB99:BB111)</f>
        <v>3694</v>
      </c>
      <c r="BC113" s="30"/>
      <c r="BD113" s="57"/>
      <c r="BE113" s="21">
        <f>SUM(BE99:BE111)</f>
        <v>90025927.24999997</v>
      </c>
      <c r="BF113" s="23"/>
      <c r="BG113" s="22">
        <f>SUM(BG99:BG111)</f>
        <v>4619</v>
      </c>
      <c r="BH113" s="30"/>
      <c r="BI113" s="57"/>
      <c r="BJ113" s="21">
        <f>SUM(BJ99:BJ111)</f>
        <v>95291971.63000003</v>
      </c>
      <c r="BK113" s="23"/>
      <c r="BL113" s="22">
        <f>SUM(BL99:BL111)</f>
        <v>4721</v>
      </c>
      <c r="BM113" s="30"/>
      <c r="BN113" s="57"/>
      <c r="BO113" s="21">
        <f>SUM(BO99:BO111)</f>
        <v>98891212.96999998</v>
      </c>
      <c r="BP113" s="23"/>
      <c r="BQ113" s="22">
        <f>SUM(BQ99:BQ111)</f>
        <v>4756</v>
      </c>
      <c r="BR113" s="30"/>
      <c r="BS113" s="57"/>
      <c r="BT113" s="21">
        <f>SUM(BT99:BT111)</f>
        <v>102929974.99999997</v>
      </c>
      <c r="BU113" s="23"/>
      <c r="BV113" s="22">
        <f>SUM(BV99:BV111)</f>
        <v>4781</v>
      </c>
      <c r="BW113" s="30"/>
      <c r="BX113" s="57"/>
      <c r="BY113" s="21">
        <f>SUM(BY99:BY111)</f>
        <v>107975773.72000001</v>
      </c>
      <c r="BZ113" s="23"/>
      <c r="CA113" s="22">
        <f>SUM(CA99:CA111)</f>
        <v>4833</v>
      </c>
      <c r="CB113" s="30"/>
      <c r="CC113" s="57"/>
    </row>
    <row r="114" spans="1:81" ht="13.5" thickTop="1">
      <c r="A114" s="8"/>
      <c r="B114" s="8"/>
      <c r="C114" s="8"/>
      <c r="D114" s="9"/>
      <c r="E114" s="8"/>
      <c r="F114" s="10"/>
      <c r="G114" s="8"/>
      <c r="H114" s="8"/>
      <c r="I114" s="8"/>
      <c r="J114" s="9"/>
      <c r="K114" s="8"/>
      <c r="L114" s="10"/>
      <c r="M114" s="63"/>
      <c r="N114" s="54"/>
      <c r="O114" s="55"/>
      <c r="P114" s="8"/>
      <c r="Q114" s="9"/>
      <c r="R114" s="8"/>
      <c r="S114" s="10"/>
      <c r="T114" s="63"/>
      <c r="U114" s="54"/>
      <c r="V114" s="9"/>
      <c r="W114" s="8"/>
      <c r="X114" s="10"/>
      <c r="Y114" s="63"/>
      <c r="Z114" s="54"/>
      <c r="AA114" s="9"/>
      <c r="AB114" s="8"/>
      <c r="AC114" s="10"/>
      <c r="AD114" s="63"/>
      <c r="AE114" s="54"/>
      <c r="AF114" s="9"/>
      <c r="AG114" s="8"/>
      <c r="AH114" s="10"/>
      <c r="AI114" s="63"/>
      <c r="AJ114" s="54"/>
      <c r="AK114" s="9"/>
      <c r="AL114" s="8"/>
      <c r="AM114" s="10"/>
      <c r="AN114" s="63"/>
      <c r="AO114" s="54"/>
      <c r="AP114" s="9"/>
      <c r="AQ114" s="8"/>
      <c r="AR114" s="10"/>
      <c r="AS114" s="63"/>
      <c r="AT114" s="54"/>
      <c r="AU114" s="9"/>
      <c r="AV114" s="8"/>
      <c r="AW114" s="10"/>
      <c r="AX114" s="63"/>
      <c r="AY114" s="54"/>
      <c r="AZ114" s="9"/>
      <c r="BA114" s="8"/>
      <c r="BB114" s="10"/>
      <c r="BC114" s="63"/>
      <c r="BD114" s="54"/>
      <c r="BE114" s="9"/>
      <c r="BF114" s="8"/>
      <c r="BG114" s="10"/>
      <c r="BH114" s="63"/>
      <c r="BI114" s="54"/>
      <c r="BJ114" s="9"/>
      <c r="BK114" s="8"/>
      <c r="BL114" s="10"/>
      <c r="BM114" s="63"/>
      <c r="BN114" s="54"/>
      <c r="BO114" s="9"/>
      <c r="BP114" s="8"/>
      <c r="BQ114" s="10"/>
      <c r="BR114" s="63"/>
      <c r="BS114" s="54"/>
      <c r="BT114" s="9"/>
      <c r="BU114" s="8"/>
      <c r="BV114" s="10"/>
      <c r="BW114" s="63"/>
      <c r="BX114" s="54"/>
      <c r="BY114" s="9"/>
      <c r="BZ114" s="8"/>
      <c r="CA114" s="10"/>
      <c r="CB114" s="63"/>
      <c r="CC114" s="54"/>
    </row>
    <row r="115" spans="1:81" ht="12.75">
      <c r="A115" s="19" t="s">
        <v>128</v>
      </c>
      <c r="B115" s="8"/>
      <c r="C115" s="8"/>
      <c r="D115" s="9"/>
      <c r="E115" s="8"/>
      <c r="F115" s="10"/>
      <c r="G115" s="8"/>
      <c r="H115" s="8"/>
      <c r="I115" s="8"/>
      <c r="J115" s="19" t="s">
        <v>128</v>
      </c>
      <c r="K115" s="8"/>
      <c r="L115" s="8"/>
      <c r="M115" s="9"/>
      <c r="N115" s="8"/>
      <c r="O115" s="10"/>
      <c r="P115" s="8"/>
      <c r="Q115" s="19" t="s">
        <v>128</v>
      </c>
      <c r="R115" s="8"/>
      <c r="S115" s="8"/>
      <c r="T115" s="9"/>
      <c r="U115" s="8"/>
      <c r="V115" s="19" t="s">
        <v>128</v>
      </c>
      <c r="W115" s="8"/>
      <c r="X115" s="8"/>
      <c r="Y115" s="9"/>
      <c r="Z115" s="8"/>
      <c r="AA115" s="19" t="s">
        <v>128</v>
      </c>
      <c r="AB115" s="8"/>
      <c r="AC115" s="8"/>
      <c r="AD115" s="9"/>
      <c r="AE115" s="8"/>
      <c r="AF115" s="19" t="s">
        <v>128</v>
      </c>
      <c r="AG115" s="8"/>
      <c r="AH115" s="8"/>
      <c r="AI115" s="9"/>
      <c r="AJ115" s="8"/>
      <c r="AK115" s="19" t="s">
        <v>128</v>
      </c>
      <c r="AL115" s="8"/>
      <c r="AM115" s="8"/>
      <c r="AN115" s="9"/>
      <c r="AO115" s="8"/>
      <c r="AP115" s="19" t="s">
        <v>128</v>
      </c>
      <c r="AQ115" s="8"/>
      <c r="AR115" s="8"/>
      <c r="AS115" s="9"/>
      <c r="AT115" s="8"/>
      <c r="AU115" s="19" t="s">
        <v>128</v>
      </c>
      <c r="AV115" s="8"/>
      <c r="AW115" s="8"/>
      <c r="AX115" s="9"/>
      <c r="AY115" s="8"/>
      <c r="AZ115" s="19" t="s">
        <v>128</v>
      </c>
      <c r="BA115" s="8"/>
      <c r="BB115" s="8"/>
      <c r="BC115" s="9"/>
      <c r="BD115" s="8"/>
      <c r="BE115" s="19" t="s">
        <v>128</v>
      </c>
      <c r="BF115" s="8"/>
      <c r="BG115" s="8"/>
      <c r="BH115" s="9"/>
      <c r="BI115" s="8"/>
      <c r="BJ115" s="19" t="s">
        <v>128</v>
      </c>
      <c r="BK115" s="8"/>
      <c r="BL115" s="8"/>
      <c r="BM115" s="9"/>
      <c r="BN115" s="8"/>
      <c r="BO115" s="19" t="s">
        <v>128</v>
      </c>
      <c r="BP115" s="8"/>
      <c r="BQ115" s="8"/>
      <c r="BR115" s="9"/>
      <c r="BS115" s="8"/>
      <c r="BT115" s="19" t="s">
        <v>128</v>
      </c>
      <c r="BU115" s="8"/>
      <c r="BV115" s="8"/>
      <c r="BW115" s="9"/>
      <c r="BX115" s="8"/>
      <c r="BY115" s="19" t="s">
        <v>128</v>
      </c>
      <c r="BZ115" s="8"/>
      <c r="CA115" s="8"/>
      <c r="CB115" s="9"/>
      <c r="CC115" s="8"/>
    </row>
    <row r="116" spans="1:81" ht="12.75">
      <c r="A116" s="8"/>
      <c r="B116" s="8"/>
      <c r="C116" s="8"/>
      <c r="D116" s="9"/>
      <c r="E116" s="8"/>
      <c r="F116" s="10"/>
      <c r="G116" s="8"/>
      <c r="H116" s="8"/>
      <c r="I116" s="8"/>
      <c r="J116" s="8"/>
      <c r="K116" s="8"/>
      <c r="L116" s="8"/>
      <c r="M116" s="9"/>
      <c r="N116" s="8"/>
      <c r="O116" s="10"/>
      <c r="P116" s="8"/>
      <c r="Q116" s="8"/>
      <c r="R116" s="8"/>
      <c r="S116" s="8"/>
      <c r="T116" s="9"/>
      <c r="U116" s="8"/>
      <c r="V116" s="8"/>
      <c r="W116" s="8"/>
      <c r="X116" s="8"/>
      <c r="Y116" s="9"/>
      <c r="Z116" s="8"/>
      <c r="AA116" s="8"/>
      <c r="AB116" s="8"/>
      <c r="AC116" s="8"/>
      <c r="AD116" s="9"/>
      <c r="AE116" s="8"/>
      <c r="AF116" s="8"/>
      <c r="AG116" s="8"/>
      <c r="AH116" s="8"/>
      <c r="AI116" s="9"/>
      <c r="AJ116" s="8"/>
      <c r="AK116" s="8"/>
      <c r="AL116" s="8"/>
      <c r="AM116" s="8"/>
      <c r="AN116" s="9"/>
      <c r="AO116" s="8"/>
      <c r="AP116" s="8"/>
      <c r="AQ116" s="8"/>
      <c r="AR116" s="8"/>
      <c r="AS116" s="9"/>
      <c r="AT116" s="8"/>
      <c r="AU116" s="8"/>
      <c r="AV116" s="8"/>
      <c r="AW116" s="8"/>
      <c r="AX116" s="9"/>
      <c r="AY116" s="8"/>
      <c r="AZ116" s="8"/>
      <c r="BA116" s="8"/>
      <c r="BB116" s="8"/>
      <c r="BC116" s="9"/>
      <c r="BD116" s="8"/>
      <c r="BE116" s="8"/>
      <c r="BF116" s="8"/>
      <c r="BG116" s="8"/>
      <c r="BH116" s="9"/>
      <c r="BI116" s="8"/>
      <c r="BJ116" s="8"/>
      <c r="BK116" s="8"/>
      <c r="BL116" s="8"/>
      <c r="BM116" s="9"/>
      <c r="BN116" s="8"/>
      <c r="BO116" s="8"/>
      <c r="BP116" s="8"/>
      <c r="BQ116" s="8"/>
      <c r="BR116" s="9"/>
      <c r="BS116" s="8"/>
      <c r="BT116" s="8"/>
      <c r="BU116" s="8"/>
      <c r="BV116" s="8"/>
      <c r="BW116" s="9"/>
      <c r="BX116" s="8"/>
      <c r="BY116" s="8"/>
      <c r="BZ116" s="8"/>
      <c r="CA116" s="8"/>
      <c r="CB116" s="9"/>
      <c r="CC116" s="8"/>
    </row>
    <row r="117" spans="1:81" s="29" customFormat="1" ht="12.75">
      <c r="A117" s="25"/>
      <c r="B117" s="25"/>
      <c r="C117" s="25"/>
      <c r="D117" s="27" t="s">
        <v>99</v>
      </c>
      <c r="E117" s="26" t="s">
        <v>100</v>
      </c>
      <c r="F117" s="28" t="s">
        <v>101</v>
      </c>
      <c r="G117" s="26" t="s">
        <v>100</v>
      </c>
      <c r="H117" s="25"/>
      <c r="I117" s="25"/>
      <c r="J117" s="27" t="s">
        <v>99</v>
      </c>
      <c r="K117" s="26" t="s">
        <v>100</v>
      </c>
      <c r="L117" s="28" t="s">
        <v>101</v>
      </c>
      <c r="M117" s="26" t="s">
        <v>100</v>
      </c>
      <c r="N117" s="64"/>
      <c r="O117" s="65"/>
      <c r="P117" s="26" t="s">
        <v>100</v>
      </c>
      <c r="Q117" s="27" t="s">
        <v>99</v>
      </c>
      <c r="R117" s="26" t="s">
        <v>100</v>
      </c>
      <c r="S117" s="28" t="s">
        <v>101</v>
      </c>
      <c r="T117" s="26" t="s">
        <v>100</v>
      </c>
      <c r="U117" s="64"/>
      <c r="V117" s="27" t="s">
        <v>99</v>
      </c>
      <c r="W117" s="26" t="s">
        <v>100</v>
      </c>
      <c r="X117" s="28" t="s">
        <v>101</v>
      </c>
      <c r="Y117" s="26" t="s">
        <v>100</v>
      </c>
      <c r="Z117" s="64"/>
      <c r="AA117" s="27" t="s">
        <v>99</v>
      </c>
      <c r="AB117" s="26" t="s">
        <v>100</v>
      </c>
      <c r="AC117" s="28" t="s">
        <v>101</v>
      </c>
      <c r="AD117" s="26" t="s">
        <v>100</v>
      </c>
      <c r="AE117" s="64"/>
      <c r="AF117" s="27" t="s">
        <v>99</v>
      </c>
      <c r="AG117" s="26" t="s">
        <v>100</v>
      </c>
      <c r="AH117" s="28" t="s">
        <v>101</v>
      </c>
      <c r="AI117" s="26" t="s">
        <v>100</v>
      </c>
      <c r="AJ117" s="64"/>
      <c r="AK117" s="27" t="s">
        <v>99</v>
      </c>
      <c r="AL117" s="26" t="s">
        <v>100</v>
      </c>
      <c r="AM117" s="28" t="s">
        <v>101</v>
      </c>
      <c r="AN117" s="26" t="s">
        <v>100</v>
      </c>
      <c r="AO117" s="64"/>
      <c r="AP117" s="89" t="s">
        <v>99</v>
      </c>
      <c r="AQ117" s="44" t="s">
        <v>100</v>
      </c>
      <c r="AR117" s="88" t="s">
        <v>101</v>
      </c>
      <c r="AS117" s="44" t="s">
        <v>100</v>
      </c>
      <c r="AT117" s="64"/>
      <c r="AU117" s="89" t="s">
        <v>99</v>
      </c>
      <c r="AV117" s="44" t="s">
        <v>100</v>
      </c>
      <c r="AW117" s="88" t="s">
        <v>101</v>
      </c>
      <c r="AX117" s="44" t="s">
        <v>100</v>
      </c>
      <c r="AY117" s="64"/>
      <c r="AZ117" s="89" t="s">
        <v>99</v>
      </c>
      <c r="BA117" s="44" t="s">
        <v>100</v>
      </c>
      <c r="BB117" s="88" t="s">
        <v>101</v>
      </c>
      <c r="BC117" s="44" t="s">
        <v>100</v>
      </c>
      <c r="BD117" s="64"/>
      <c r="BE117" s="89" t="s">
        <v>99</v>
      </c>
      <c r="BF117" s="44" t="s">
        <v>100</v>
      </c>
      <c r="BG117" s="88" t="s">
        <v>101</v>
      </c>
      <c r="BH117" s="44" t="s">
        <v>100</v>
      </c>
      <c r="BI117" s="64"/>
      <c r="BJ117" s="89" t="s">
        <v>99</v>
      </c>
      <c r="BK117" s="44" t="s">
        <v>100</v>
      </c>
      <c r="BL117" s="88" t="s">
        <v>101</v>
      </c>
      <c r="BM117" s="44" t="s">
        <v>100</v>
      </c>
      <c r="BN117" s="64"/>
      <c r="BO117" s="89" t="s">
        <v>99</v>
      </c>
      <c r="BP117" s="44" t="s">
        <v>100</v>
      </c>
      <c r="BQ117" s="88" t="s">
        <v>101</v>
      </c>
      <c r="BR117" s="44" t="s">
        <v>100</v>
      </c>
      <c r="BS117" s="64"/>
      <c r="BT117" s="89" t="s">
        <v>99</v>
      </c>
      <c r="BU117" s="44" t="s">
        <v>100</v>
      </c>
      <c r="BV117" s="88" t="s">
        <v>101</v>
      </c>
      <c r="BW117" s="44" t="s">
        <v>100</v>
      </c>
      <c r="BX117" s="64"/>
      <c r="BY117" s="89" t="s">
        <v>99</v>
      </c>
      <c r="BZ117" s="44" t="s">
        <v>100</v>
      </c>
      <c r="CA117" s="88" t="s">
        <v>101</v>
      </c>
      <c r="CB117" s="44" t="s">
        <v>100</v>
      </c>
      <c r="CC117" s="64"/>
    </row>
    <row r="118" spans="1:81" ht="12.75">
      <c r="A118" s="8"/>
      <c r="B118" s="8"/>
      <c r="C118" s="8"/>
      <c r="D118" s="9"/>
      <c r="E118" s="8"/>
      <c r="F118" s="10"/>
      <c r="G118" s="8"/>
      <c r="H118" s="8"/>
      <c r="I118" s="8"/>
      <c r="J118" s="9"/>
      <c r="K118" s="8"/>
      <c r="L118" s="10"/>
      <c r="N118" s="54"/>
      <c r="O118" s="55"/>
      <c r="P118" s="8"/>
      <c r="Q118" s="9"/>
      <c r="R118" s="8"/>
      <c r="S118" s="10"/>
      <c r="T118" s="34"/>
      <c r="U118" s="54"/>
      <c r="V118" s="9"/>
      <c r="W118" s="8"/>
      <c r="X118" s="10"/>
      <c r="Y118" s="34"/>
      <c r="Z118" s="54"/>
      <c r="AA118" s="9"/>
      <c r="AB118" s="8"/>
      <c r="AC118" s="10"/>
      <c r="AD118" s="34"/>
      <c r="AE118" s="54"/>
      <c r="AF118" s="9"/>
      <c r="AG118" s="8"/>
      <c r="AH118" s="10"/>
      <c r="AI118" s="34"/>
      <c r="AJ118" s="54"/>
      <c r="AK118" s="9"/>
      <c r="AL118" s="8"/>
      <c r="AM118" s="10"/>
      <c r="AN118" s="34"/>
      <c r="AO118" s="54"/>
      <c r="AP118" s="9"/>
      <c r="AQ118" s="8"/>
      <c r="AR118" s="10"/>
      <c r="AS118" s="34"/>
      <c r="AT118" s="54"/>
      <c r="AU118" s="9"/>
      <c r="AV118" s="8"/>
      <c r="AW118" s="10"/>
      <c r="AX118" s="34"/>
      <c r="AY118" s="54"/>
      <c r="AZ118" s="9"/>
      <c r="BA118" s="8"/>
      <c r="BB118" s="10"/>
      <c r="BC118" s="34"/>
      <c r="BD118" s="54"/>
      <c r="BE118" s="9"/>
      <c r="BF118" s="8"/>
      <c r="BG118" s="10"/>
      <c r="BH118" s="34"/>
      <c r="BI118" s="54"/>
      <c r="BJ118" s="9"/>
      <c r="BK118" s="8"/>
      <c r="BL118" s="10"/>
      <c r="BM118" s="34"/>
      <c r="BN118" s="54"/>
      <c r="BO118" s="9"/>
      <c r="BP118" s="8"/>
      <c r="BQ118" s="10"/>
      <c r="BR118" s="34"/>
      <c r="BS118" s="54"/>
      <c r="BT118" s="9"/>
      <c r="BU118" s="8"/>
      <c r="BV118" s="10"/>
      <c r="BW118" s="34"/>
      <c r="BX118" s="54"/>
      <c r="BY118" s="9"/>
      <c r="BZ118" s="8"/>
      <c r="CA118" s="10"/>
      <c r="CB118" s="34"/>
      <c r="CC118" s="54"/>
    </row>
    <row r="119" spans="1:81" ht="12.75">
      <c r="A119" s="24">
        <v>1996</v>
      </c>
      <c r="B119" s="8"/>
      <c r="C119" s="8"/>
      <c r="D119" s="9">
        <v>0</v>
      </c>
      <c r="E119" s="14">
        <f aca="true" t="shared" si="19" ref="E119:E124">+D119/$D$129</f>
        <v>0</v>
      </c>
      <c r="F119" s="10">
        <v>0</v>
      </c>
      <c r="G119" s="14">
        <f>+F119/F129</f>
        <v>0</v>
      </c>
      <c r="H119" s="8"/>
      <c r="I119" s="8"/>
      <c r="J119" s="9">
        <v>0</v>
      </c>
      <c r="K119" s="14">
        <f>+J119/J129</f>
        <v>0</v>
      </c>
      <c r="L119" s="10">
        <v>0</v>
      </c>
      <c r="M119" s="14">
        <f>+L119/L129</f>
        <v>0</v>
      </c>
      <c r="N119" s="56"/>
      <c r="O119" s="55"/>
      <c r="P119" s="14">
        <v>0</v>
      </c>
      <c r="Q119" s="9">
        <v>0</v>
      </c>
      <c r="R119" s="14">
        <v>0</v>
      </c>
      <c r="S119" s="10">
        <v>0</v>
      </c>
      <c r="T119" s="14">
        <v>0</v>
      </c>
      <c r="U119" s="56"/>
      <c r="V119" s="9">
        <v>0</v>
      </c>
      <c r="W119" s="14">
        <v>0</v>
      </c>
      <c r="X119" s="10">
        <v>0</v>
      </c>
      <c r="Y119" s="14">
        <v>0</v>
      </c>
      <c r="Z119" s="56"/>
      <c r="AA119" s="9">
        <v>0</v>
      </c>
      <c r="AB119" s="14">
        <v>0</v>
      </c>
      <c r="AC119" s="10">
        <v>0</v>
      </c>
      <c r="AD119" s="14">
        <v>0</v>
      </c>
      <c r="AE119" s="56"/>
      <c r="AF119" s="9">
        <v>0</v>
      </c>
      <c r="AG119" s="14">
        <v>0</v>
      </c>
      <c r="AH119" s="10">
        <v>0</v>
      </c>
      <c r="AI119" s="14">
        <v>0</v>
      </c>
      <c r="AJ119" s="56"/>
      <c r="AK119" s="9">
        <v>0</v>
      </c>
      <c r="AL119" s="14">
        <v>0</v>
      </c>
      <c r="AM119" s="10">
        <v>0</v>
      </c>
      <c r="AN119" s="14">
        <v>0</v>
      </c>
      <c r="AO119" s="56"/>
      <c r="AP119" s="9">
        <v>0</v>
      </c>
      <c r="AQ119" s="14">
        <v>0</v>
      </c>
      <c r="AR119" s="10">
        <v>0</v>
      </c>
      <c r="AS119" s="14">
        <v>0</v>
      </c>
      <c r="AT119" s="56"/>
      <c r="AU119" s="9">
        <v>0</v>
      </c>
      <c r="AV119" s="14">
        <v>0</v>
      </c>
      <c r="AW119" s="10">
        <v>0</v>
      </c>
      <c r="AX119" s="14">
        <v>0</v>
      </c>
      <c r="AY119" s="56"/>
      <c r="AZ119" s="9">
        <v>0</v>
      </c>
      <c r="BA119" s="14">
        <v>0</v>
      </c>
      <c r="BB119" s="10">
        <v>0</v>
      </c>
      <c r="BC119" s="14">
        <v>0</v>
      </c>
      <c r="BD119" s="56"/>
      <c r="BE119" s="9">
        <v>0</v>
      </c>
      <c r="BF119" s="14">
        <v>0</v>
      </c>
      <c r="BG119" s="10">
        <v>0</v>
      </c>
      <c r="BH119" s="14">
        <v>0</v>
      </c>
      <c r="BI119" s="56"/>
      <c r="BJ119" s="9">
        <v>0</v>
      </c>
      <c r="BK119" s="14">
        <v>0</v>
      </c>
      <c r="BL119" s="10">
        <v>0</v>
      </c>
      <c r="BM119" s="14">
        <v>0</v>
      </c>
      <c r="BN119" s="56"/>
      <c r="BO119" s="9">
        <v>0</v>
      </c>
      <c r="BP119" s="14">
        <v>0</v>
      </c>
      <c r="BQ119" s="10">
        <v>0</v>
      </c>
      <c r="BR119" s="14">
        <v>0</v>
      </c>
      <c r="BS119" s="56"/>
      <c r="BT119" s="9">
        <v>0</v>
      </c>
      <c r="BU119" s="14">
        <v>0</v>
      </c>
      <c r="BV119" s="10">
        <v>0</v>
      </c>
      <c r="BW119" s="14">
        <v>0</v>
      </c>
      <c r="BX119" s="56"/>
      <c r="BY119" s="9">
        <v>0</v>
      </c>
      <c r="BZ119" s="14">
        <v>0</v>
      </c>
      <c r="CA119" s="10">
        <v>0</v>
      </c>
      <c r="CB119" s="14">
        <v>0</v>
      </c>
      <c r="CC119" s="56"/>
    </row>
    <row r="120" spans="1:81" ht="12.75">
      <c r="A120" s="24">
        <v>1997</v>
      </c>
      <c r="B120" s="8"/>
      <c r="C120" s="8"/>
      <c r="D120" s="9">
        <v>0</v>
      </c>
      <c r="E120" s="14">
        <f t="shared" si="19"/>
        <v>0</v>
      </c>
      <c r="F120" s="10">
        <v>0</v>
      </c>
      <c r="G120" s="14">
        <f>+F120/$F$129</f>
        <v>0</v>
      </c>
      <c r="H120" s="8"/>
      <c r="I120" s="8"/>
      <c r="J120" s="9">
        <v>0</v>
      </c>
      <c r="K120" s="14">
        <f>+J120/$J$129</f>
        <v>0</v>
      </c>
      <c r="L120" s="10">
        <v>0</v>
      </c>
      <c r="M120" s="14">
        <f>+L120/$L$129</f>
        <v>0</v>
      </c>
      <c r="N120" s="56"/>
      <c r="O120" s="55"/>
      <c r="P120" s="14">
        <v>0</v>
      </c>
      <c r="Q120" s="9">
        <v>0</v>
      </c>
      <c r="R120" s="14">
        <v>0</v>
      </c>
      <c r="S120" s="10">
        <v>0</v>
      </c>
      <c r="T120" s="14">
        <v>0</v>
      </c>
      <c r="U120" s="56"/>
      <c r="V120" s="9">
        <v>0</v>
      </c>
      <c r="W120" s="14">
        <v>0</v>
      </c>
      <c r="X120" s="10">
        <v>0</v>
      </c>
      <c r="Y120" s="14">
        <v>0</v>
      </c>
      <c r="Z120" s="56"/>
      <c r="AA120" s="9">
        <v>0</v>
      </c>
      <c r="AB120" s="14">
        <v>0</v>
      </c>
      <c r="AC120" s="10">
        <v>0</v>
      </c>
      <c r="AD120" s="14">
        <v>0</v>
      </c>
      <c r="AE120" s="56"/>
      <c r="AF120" s="9">
        <v>0</v>
      </c>
      <c r="AG120" s="14">
        <v>0</v>
      </c>
      <c r="AH120" s="10">
        <v>0</v>
      </c>
      <c r="AI120" s="14">
        <v>0</v>
      </c>
      <c r="AJ120" s="56"/>
      <c r="AK120" s="9">
        <v>0</v>
      </c>
      <c r="AL120" s="14">
        <v>0</v>
      </c>
      <c r="AM120" s="10">
        <v>0</v>
      </c>
      <c r="AN120" s="14">
        <v>0</v>
      </c>
      <c r="AO120" s="56"/>
      <c r="AP120" s="9">
        <v>0</v>
      </c>
      <c r="AQ120" s="14">
        <v>0</v>
      </c>
      <c r="AR120" s="10">
        <v>0</v>
      </c>
      <c r="AS120" s="14">
        <v>0</v>
      </c>
      <c r="AT120" s="56"/>
      <c r="AU120" s="9">
        <v>0</v>
      </c>
      <c r="AV120" s="14">
        <v>0</v>
      </c>
      <c r="AW120" s="10">
        <v>0</v>
      </c>
      <c r="AX120" s="14">
        <v>0</v>
      </c>
      <c r="AY120" s="56"/>
      <c r="AZ120" s="9">
        <v>0</v>
      </c>
      <c r="BA120" s="14">
        <v>0</v>
      </c>
      <c r="BB120" s="10">
        <v>0</v>
      </c>
      <c r="BC120" s="14">
        <v>0</v>
      </c>
      <c r="BD120" s="56"/>
      <c r="BE120" s="9">
        <v>0</v>
      </c>
      <c r="BF120" s="14">
        <v>0</v>
      </c>
      <c r="BG120" s="10">
        <v>0</v>
      </c>
      <c r="BH120" s="14">
        <v>0</v>
      </c>
      <c r="BI120" s="56"/>
      <c r="BJ120" s="9">
        <v>0</v>
      </c>
      <c r="BK120" s="14">
        <v>0</v>
      </c>
      <c r="BL120" s="10">
        <v>0</v>
      </c>
      <c r="BM120" s="14">
        <v>0</v>
      </c>
      <c r="BN120" s="56"/>
      <c r="BO120" s="9">
        <v>0</v>
      </c>
      <c r="BP120" s="14">
        <v>0</v>
      </c>
      <c r="BQ120" s="10">
        <v>0</v>
      </c>
      <c r="BR120" s="14">
        <v>0</v>
      </c>
      <c r="BS120" s="56"/>
      <c r="BT120" s="9">
        <v>0</v>
      </c>
      <c r="BU120" s="14">
        <v>0</v>
      </c>
      <c r="BV120" s="10">
        <v>0</v>
      </c>
      <c r="BW120" s="14">
        <v>0</v>
      </c>
      <c r="BX120" s="56"/>
      <c r="BY120" s="9">
        <v>0</v>
      </c>
      <c r="BZ120" s="14">
        <v>0</v>
      </c>
      <c r="CA120" s="10">
        <v>0</v>
      </c>
      <c r="CB120" s="14">
        <v>0</v>
      </c>
      <c r="CC120" s="56"/>
    </row>
    <row r="121" spans="1:81" ht="12.75">
      <c r="A121" s="24">
        <v>1998</v>
      </c>
      <c r="B121" s="8"/>
      <c r="C121" s="8"/>
      <c r="D121" s="9">
        <v>0</v>
      </c>
      <c r="E121" s="14">
        <f t="shared" si="19"/>
        <v>0</v>
      </c>
      <c r="F121" s="10">
        <v>0</v>
      </c>
      <c r="G121" s="14">
        <f>+F121/$F$129</f>
        <v>0</v>
      </c>
      <c r="H121" s="8"/>
      <c r="I121" s="8"/>
      <c r="J121" s="9">
        <v>0</v>
      </c>
      <c r="K121" s="14">
        <f>+J121/$J$129</f>
        <v>0</v>
      </c>
      <c r="L121" s="10">
        <v>0</v>
      </c>
      <c r="M121" s="14">
        <f>+L121/$L$129</f>
        <v>0</v>
      </c>
      <c r="N121" s="56"/>
      <c r="O121" s="55"/>
      <c r="P121" s="14">
        <v>0</v>
      </c>
      <c r="Q121" s="9">
        <v>0</v>
      </c>
      <c r="R121" s="14">
        <v>0</v>
      </c>
      <c r="S121" s="10">
        <v>0</v>
      </c>
      <c r="T121" s="14">
        <v>0</v>
      </c>
      <c r="U121" s="56"/>
      <c r="V121" s="9">
        <v>0</v>
      </c>
      <c r="W121" s="14">
        <v>0</v>
      </c>
      <c r="X121" s="10">
        <v>0</v>
      </c>
      <c r="Y121" s="14">
        <v>0</v>
      </c>
      <c r="Z121" s="56"/>
      <c r="AA121" s="9">
        <v>0</v>
      </c>
      <c r="AB121" s="14">
        <v>0</v>
      </c>
      <c r="AC121" s="10">
        <v>0</v>
      </c>
      <c r="AD121" s="14">
        <v>0</v>
      </c>
      <c r="AE121" s="56"/>
      <c r="AF121" s="9">
        <v>0</v>
      </c>
      <c r="AG121" s="14">
        <v>0</v>
      </c>
      <c r="AH121" s="10">
        <v>0</v>
      </c>
      <c r="AI121" s="14">
        <v>0</v>
      </c>
      <c r="AJ121" s="56"/>
      <c r="AK121" s="9">
        <v>0</v>
      </c>
      <c r="AL121" s="14">
        <v>0</v>
      </c>
      <c r="AM121" s="10">
        <v>0</v>
      </c>
      <c r="AN121" s="14">
        <v>0</v>
      </c>
      <c r="AO121" s="56"/>
      <c r="AP121" s="9">
        <v>0</v>
      </c>
      <c r="AQ121" s="14">
        <v>0</v>
      </c>
      <c r="AR121" s="10">
        <v>0</v>
      </c>
      <c r="AS121" s="14">
        <v>0</v>
      </c>
      <c r="AT121" s="56"/>
      <c r="AU121" s="9">
        <v>0</v>
      </c>
      <c r="AV121" s="14">
        <v>0</v>
      </c>
      <c r="AW121" s="10">
        <v>0</v>
      </c>
      <c r="AX121" s="14">
        <v>0</v>
      </c>
      <c r="AY121" s="56"/>
      <c r="AZ121" s="9">
        <v>0</v>
      </c>
      <c r="BA121" s="14">
        <v>0</v>
      </c>
      <c r="BB121" s="10">
        <v>0</v>
      </c>
      <c r="BC121" s="14">
        <v>0</v>
      </c>
      <c r="BD121" s="56"/>
      <c r="BE121" s="9">
        <v>0</v>
      </c>
      <c r="BF121" s="14">
        <v>0</v>
      </c>
      <c r="BG121" s="10">
        <v>0</v>
      </c>
      <c r="BH121" s="14">
        <v>0</v>
      </c>
      <c r="BI121" s="56"/>
      <c r="BJ121" s="9">
        <v>0</v>
      </c>
      <c r="BK121" s="14">
        <v>0</v>
      </c>
      <c r="BL121" s="10">
        <v>0</v>
      </c>
      <c r="BM121" s="14">
        <v>0</v>
      </c>
      <c r="BN121" s="56"/>
      <c r="BO121" s="9">
        <v>0</v>
      </c>
      <c r="BP121" s="14">
        <v>0</v>
      </c>
      <c r="BQ121" s="10">
        <v>0</v>
      </c>
      <c r="BR121" s="14">
        <v>0</v>
      </c>
      <c r="BS121" s="56"/>
      <c r="BT121" s="9">
        <v>0</v>
      </c>
      <c r="BU121" s="14">
        <v>0</v>
      </c>
      <c r="BV121" s="10">
        <v>0</v>
      </c>
      <c r="BW121" s="14">
        <v>0</v>
      </c>
      <c r="BX121" s="56"/>
      <c r="BY121" s="9">
        <v>0</v>
      </c>
      <c r="BZ121" s="14">
        <v>0</v>
      </c>
      <c r="CA121" s="10">
        <v>0</v>
      </c>
      <c r="CB121" s="14">
        <v>0</v>
      </c>
      <c r="CC121" s="56"/>
    </row>
    <row r="122" spans="1:81" ht="12.75">
      <c r="A122" s="24">
        <v>1999</v>
      </c>
      <c r="B122" s="8"/>
      <c r="C122" s="8"/>
      <c r="D122" s="9">
        <v>0</v>
      </c>
      <c r="E122" s="14">
        <f t="shared" si="19"/>
        <v>0</v>
      </c>
      <c r="F122" s="10">
        <v>0</v>
      </c>
      <c r="G122" s="14">
        <f>+F122/$F$129</f>
        <v>0</v>
      </c>
      <c r="H122" s="8"/>
      <c r="I122" s="8"/>
      <c r="J122" s="9">
        <v>0</v>
      </c>
      <c r="K122" s="14">
        <f>+J122/$J$129</f>
        <v>0</v>
      </c>
      <c r="L122" s="10">
        <v>0</v>
      </c>
      <c r="M122" s="14">
        <f>+L122/$L$129</f>
        <v>0</v>
      </c>
      <c r="N122" s="56"/>
      <c r="O122" s="55"/>
      <c r="P122" s="14">
        <v>0</v>
      </c>
      <c r="Q122" s="9">
        <v>0</v>
      </c>
      <c r="R122" s="14">
        <v>0</v>
      </c>
      <c r="S122" s="10">
        <v>0</v>
      </c>
      <c r="T122" s="14">
        <v>0</v>
      </c>
      <c r="U122" s="56"/>
      <c r="V122" s="9">
        <v>0</v>
      </c>
      <c r="W122" s="14">
        <v>0</v>
      </c>
      <c r="X122" s="10">
        <v>0</v>
      </c>
      <c r="Y122" s="14">
        <v>0</v>
      </c>
      <c r="Z122" s="56"/>
      <c r="AA122" s="9">
        <v>0</v>
      </c>
      <c r="AB122" s="14">
        <v>0</v>
      </c>
      <c r="AC122" s="10">
        <v>0</v>
      </c>
      <c r="AD122" s="14">
        <v>0</v>
      </c>
      <c r="AE122" s="56"/>
      <c r="AF122" s="9">
        <v>0</v>
      </c>
      <c r="AG122" s="14">
        <v>0</v>
      </c>
      <c r="AH122" s="10">
        <v>0</v>
      </c>
      <c r="AI122" s="14">
        <v>0</v>
      </c>
      <c r="AJ122" s="56"/>
      <c r="AK122" s="9">
        <v>0</v>
      </c>
      <c r="AL122" s="14">
        <v>0</v>
      </c>
      <c r="AM122" s="10">
        <v>0</v>
      </c>
      <c r="AN122" s="14">
        <v>0</v>
      </c>
      <c r="AO122" s="56"/>
      <c r="AP122" s="9">
        <v>0</v>
      </c>
      <c r="AQ122" s="14">
        <v>0</v>
      </c>
      <c r="AR122" s="10">
        <v>0</v>
      </c>
      <c r="AS122" s="14">
        <v>0</v>
      </c>
      <c r="AT122" s="56"/>
      <c r="AU122" s="9">
        <v>0</v>
      </c>
      <c r="AV122" s="14">
        <v>0</v>
      </c>
      <c r="AW122" s="10">
        <v>0</v>
      </c>
      <c r="AX122" s="14">
        <v>0</v>
      </c>
      <c r="AY122" s="56"/>
      <c r="AZ122" s="9">
        <v>0</v>
      </c>
      <c r="BA122" s="14">
        <v>0</v>
      </c>
      <c r="BB122" s="10">
        <v>0</v>
      </c>
      <c r="BC122" s="14">
        <v>0</v>
      </c>
      <c r="BD122" s="56"/>
      <c r="BE122" s="9">
        <v>0</v>
      </c>
      <c r="BF122" s="14">
        <v>0</v>
      </c>
      <c r="BG122" s="10">
        <v>0</v>
      </c>
      <c r="BH122" s="14">
        <v>0</v>
      </c>
      <c r="BI122" s="56"/>
      <c r="BJ122" s="9">
        <v>0</v>
      </c>
      <c r="BK122" s="14">
        <v>0</v>
      </c>
      <c r="BL122" s="10">
        <v>0</v>
      </c>
      <c r="BM122" s="14">
        <v>0</v>
      </c>
      <c r="BN122" s="56"/>
      <c r="BO122" s="9">
        <v>0</v>
      </c>
      <c r="BP122" s="14">
        <v>0</v>
      </c>
      <c r="BQ122" s="10">
        <v>0</v>
      </c>
      <c r="BR122" s="14">
        <v>0</v>
      </c>
      <c r="BS122" s="56"/>
      <c r="BT122" s="9">
        <v>0</v>
      </c>
      <c r="BU122" s="14">
        <v>0</v>
      </c>
      <c r="BV122" s="10">
        <v>0</v>
      </c>
      <c r="BW122" s="14">
        <v>0</v>
      </c>
      <c r="BX122" s="56"/>
      <c r="BY122" s="9">
        <v>0</v>
      </c>
      <c r="BZ122" s="14">
        <v>0</v>
      </c>
      <c r="CA122" s="10">
        <v>0</v>
      </c>
      <c r="CB122" s="14">
        <v>0</v>
      </c>
      <c r="CC122" s="56"/>
    </row>
    <row r="123" spans="1:81" ht="12.75">
      <c r="A123" s="24">
        <v>2000</v>
      </c>
      <c r="B123" s="8"/>
      <c r="C123" s="8"/>
      <c r="D123" s="9">
        <v>610942.66</v>
      </c>
      <c r="E123" s="14">
        <f t="shared" si="19"/>
        <v>0.023744654694149457</v>
      </c>
      <c r="F123" s="10">
        <v>43</v>
      </c>
      <c r="G123" s="14">
        <f>+F123/$F$129</f>
        <v>0.023143164693218515</v>
      </c>
      <c r="H123" s="8"/>
      <c r="I123" s="8"/>
      <c r="J123" s="9">
        <v>472859.46</v>
      </c>
      <c r="K123" s="14">
        <f>+J123/$J$129</f>
        <v>0.019335052806730573</v>
      </c>
      <c r="L123" s="10">
        <v>36</v>
      </c>
      <c r="M123" s="14">
        <f>+L123/$L$129</f>
        <v>0.020122973728339856</v>
      </c>
      <c r="N123" s="56"/>
      <c r="O123" s="55"/>
      <c r="P123" s="14">
        <v>0.020122973728339856</v>
      </c>
      <c r="Q123" s="9">
        <v>435616.95</v>
      </c>
      <c r="R123" s="14">
        <v>0.007383477500608228</v>
      </c>
      <c r="S123" s="10">
        <v>31</v>
      </c>
      <c r="T123" s="14">
        <v>0.007389749702026222</v>
      </c>
      <c r="U123" s="56"/>
      <c r="V123" s="9">
        <v>381654.38</v>
      </c>
      <c r="W123" s="14">
        <v>0.0060354674140735325</v>
      </c>
      <c r="X123" s="10">
        <v>29</v>
      </c>
      <c r="Y123" s="14">
        <v>0.006581933726736269</v>
      </c>
      <c r="Z123" s="56"/>
      <c r="AA123" s="9">
        <v>322805.94</v>
      </c>
      <c r="AB123" s="14">
        <v>0.0049962556043993845</v>
      </c>
      <c r="AC123" s="10">
        <v>24</v>
      </c>
      <c r="AD123" s="14">
        <v>0.0053655264922870555</v>
      </c>
      <c r="AE123" s="56"/>
      <c r="AF123" s="9">
        <v>317211.31</v>
      </c>
      <c r="AG123" s="14">
        <v>0.0056735747575555745</v>
      </c>
      <c r="AH123" s="10">
        <v>24</v>
      </c>
      <c r="AI123" s="14">
        <v>0.005983545250560957</v>
      </c>
      <c r="AJ123" s="56"/>
      <c r="AK123" s="9">
        <v>204044.72</v>
      </c>
      <c r="AL123" s="14">
        <v>0.004435732369624465</v>
      </c>
      <c r="AM123" s="10">
        <v>16</v>
      </c>
      <c r="AN123" s="14">
        <v>0.004589787722317842</v>
      </c>
      <c r="AO123" s="56"/>
      <c r="AP123" s="9">
        <v>181515.97</v>
      </c>
      <c r="AQ123" s="14">
        <v>0.0024903408810774295</v>
      </c>
      <c r="AR123" s="10">
        <v>14</v>
      </c>
      <c r="AS123" s="14">
        <v>0.0031069684864624943</v>
      </c>
      <c r="AT123" s="56"/>
      <c r="AU123" s="9">
        <v>165753.56</v>
      </c>
      <c r="AV123" s="14">
        <v>0.0025035362112391856</v>
      </c>
      <c r="AW123" s="10">
        <v>13</v>
      </c>
      <c r="AX123" s="14">
        <v>0.003367003367003367</v>
      </c>
      <c r="AY123" s="56"/>
      <c r="AZ123" s="9">
        <v>109842.28</v>
      </c>
      <c r="BA123" s="14">
        <v>0.0016869420430992885</v>
      </c>
      <c r="BB123" s="10">
        <v>11</v>
      </c>
      <c r="BC123" s="14">
        <v>0.002977801840822956</v>
      </c>
      <c r="BD123" s="56"/>
      <c r="BE123" s="9">
        <v>102408.01</v>
      </c>
      <c r="BF123" s="14">
        <v>0.0011375390748891185</v>
      </c>
      <c r="BG123" s="10">
        <v>10</v>
      </c>
      <c r="BH123" s="14">
        <v>0.002164970772894566</v>
      </c>
      <c r="BI123" s="56"/>
      <c r="BJ123" s="9">
        <v>92038.73</v>
      </c>
      <c r="BK123" s="14">
        <v>0.0009658602757991867</v>
      </c>
      <c r="BL123" s="10">
        <v>9</v>
      </c>
      <c r="BM123" s="14">
        <v>0.0019063757678457953</v>
      </c>
      <c r="BN123" s="56"/>
      <c r="BO123" s="9">
        <v>47785.63</v>
      </c>
      <c r="BP123" s="14">
        <v>0.0004832141154391181</v>
      </c>
      <c r="BQ123" s="10">
        <v>7</v>
      </c>
      <c r="BR123" s="14">
        <v>0.001471825063078217</v>
      </c>
      <c r="BS123" s="56"/>
      <c r="BT123" s="9">
        <v>43851.27</v>
      </c>
      <c r="BU123" s="14">
        <v>0.0004260301238779086</v>
      </c>
      <c r="BV123" s="10">
        <v>6</v>
      </c>
      <c r="BW123" s="14">
        <v>0.0012549675800041832</v>
      </c>
      <c r="BX123" s="56"/>
      <c r="BY123" s="9">
        <v>35315.31</v>
      </c>
      <c r="BZ123" s="14">
        <v>0.0003270669779276483</v>
      </c>
      <c r="CA123" s="10">
        <v>5</v>
      </c>
      <c r="CB123" s="14">
        <v>0.0010345541071798054</v>
      </c>
      <c r="CC123" s="56"/>
    </row>
    <row r="124" spans="1:81" ht="12.75">
      <c r="A124" s="24">
        <v>2001</v>
      </c>
      <c r="B124" s="8"/>
      <c r="C124" s="8"/>
      <c r="D124" s="9">
        <f>25141979.5099999-23229.83</f>
        <v>25118749.679999903</v>
      </c>
      <c r="E124" s="14">
        <f t="shared" si="19"/>
        <v>0.9762553453058506</v>
      </c>
      <c r="F124" s="10">
        <v>1815</v>
      </c>
      <c r="G124" s="14">
        <f>+F124/$F$129</f>
        <v>0.9768568353067815</v>
      </c>
      <c r="H124" s="8"/>
      <c r="I124" s="8"/>
      <c r="J124" s="9">
        <v>23983213.390000008</v>
      </c>
      <c r="K124" s="14">
        <f>+J124/$J$129</f>
        <v>0.9806649471932694</v>
      </c>
      <c r="L124" s="10">
        <v>1753</v>
      </c>
      <c r="M124" s="14">
        <f>+L124/$L$129</f>
        <v>0.9798770262716602</v>
      </c>
      <c r="N124" s="56"/>
      <c r="O124" s="55"/>
      <c r="P124" s="14">
        <v>0.9798770262716602</v>
      </c>
      <c r="Q124" s="9">
        <v>58563269.40999977</v>
      </c>
      <c r="R124" s="14">
        <v>0.9926165224993917</v>
      </c>
      <c r="S124" s="10">
        <v>4164</v>
      </c>
      <c r="T124" s="14">
        <v>0.9926102502979738</v>
      </c>
      <c r="U124" s="56"/>
      <c r="V124" s="9">
        <v>62853610.399999715</v>
      </c>
      <c r="W124" s="14">
        <v>0.9939645325859264</v>
      </c>
      <c r="X124" s="10">
        <v>4377</v>
      </c>
      <c r="Y124" s="14">
        <v>0.9934180662732637</v>
      </c>
      <c r="Z124" s="56"/>
      <c r="AA124" s="9">
        <v>55189402.24000004</v>
      </c>
      <c r="AB124" s="14">
        <v>0.8541985325457523</v>
      </c>
      <c r="AC124" s="10">
        <v>3962</v>
      </c>
      <c r="AD124" s="14">
        <v>0.8857589984350548</v>
      </c>
      <c r="AE124" s="56"/>
      <c r="AF124" s="9">
        <v>47161031.44000015</v>
      </c>
      <c r="AG124" s="14">
        <v>0.8435122868672926</v>
      </c>
      <c r="AH124" s="10">
        <v>3535</v>
      </c>
      <c r="AI124" s="14">
        <v>0.881326352530541</v>
      </c>
      <c r="AJ124" s="56"/>
      <c r="AK124" s="9">
        <v>38514357.02999998</v>
      </c>
      <c r="AL124" s="14">
        <v>0.8372644005355517</v>
      </c>
      <c r="AM124" s="10">
        <v>3081</v>
      </c>
      <c r="AN124" s="14">
        <v>0.8838209982788297</v>
      </c>
      <c r="AO124" s="56"/>
      <c r="AP124" s="9">
        <v>32302373.01999999</v>
      </c>
      <c r="AQ124" s="14">
        <v>0.4431781957671193</v>
      </c>
      <c r="AR124" s="10">
        <v>2761</v>
      </c>
      <c r="AS124" s="14">
        <v>0.6127385707944962</v>
      </c>
      <c r="AT124" s="56"/>
      <c r="AU124" s="9">
        <v>26544096.32999996</v>
      </c>
      <c r="AV124" s="14">
        <v>0.4009211407391556</v>
      </c>
      <c r="AW124" s="10">
        <v>2184</v>
      </c>
      <c r="AX124" s="14">
        <v>0.5656565656565656</v>
      </c>
      <c r="AY124" s="56"/>
      <c r="AZ124" s="9">
        <v>21687446.930000007</v>
      </c>
      <c r="BA124" s="14">
        <v>0.3330727114704976</v>
      </c>
      <c r="BB124" s="10">
        <v>1882</v>
      </c>
      <c r="BC124" s="14">
        <v>0.5094748240389821</v>
      </c>
      <c r="BD124" s="56"/>
      <c r="BE124" s="9">
        <v>17713808.39999997</v>
      </c>
      <c r="BF124" s="14">
        <v>0.19676340962097652</v>
      </c>
      <c r="BG124" s="10">
        <v>1641</v>
      </c>
      <c r="BH124" s="14">
        <v>0.35527170383199824</v>
      </c>
      <c r="BI124" s="56"/>
      <c r="BJ124" s="9">
        <v>14481945.400000012</v>
      </c>
      <c r="BK124" s="14">
        <v>0.15197445442970342</v>
      </c>
      <c r="BL124" s="10">
        <v>1425</v>
      </c>
      <c r="BM124" s="14">
        <v>0.3018428299089176</v>
      </c>
      <c r="BN124" s="56"/>
      <c r="BO124" s="9">
        <v>11997105.949999986</v>
      </c>
      <c r="BP124" s="14">
        <v>0.12131619776611971</v>
      </c>
      <c r="BQ124" s="10">
        <v>1256</v>
      </c>
      <c r="BR124" s="14">
        <v>0.2640874684608915</v>
      </c>
      <c r="BS124" s="56"/>
      <c r="BT124" s="9">
        <v>10029008.670000007</v>
      </c>
      <c r="BU124" s="14">
        <v>0.09743525799943131</v>
      </c>
      <c r="BV124" s="10">
        <v>1133</v>
      </c>
      <c r="BW124" s="14">
        <v>0.2369797113574566</v>
      </c>
      <c r="BX124" s="56"/>
      <c r="BY124" s="9">
        <v>8461583.460000008</v>
      </c>
      <c r="BZ124" s="14">
        <v>0.0783655737623364</v>
      </c>
      <c r="CA124" s="10">
        <v>1022</v>
      </c>
      <c r="CB124" s="14">
        <v>0.21146285950755225</v>
      </c>
      <c r="CC124" s="56"/>
    </row>
    <row r="125" spans="1:81" ht="12.75">
      <c r="A125" s="24">
        <v>2002</v>
      </c>
      <c r="B125" s="8"/>
      <c r="C125" s="8"/>
      <c r="D125" s="9"/>
      <c r="E125" s="14"/>
      <c r="F125" s="10"/>
      <c r="G125" s="14"/>
      <c r="H125" s="8"/>
      <c r="I125" s="8"/>
      <c r="J125" s="9"/>
      <c r="K125" s="14"/>
      <c r="L125" s="10"/>
      <c r="M125" s="14"/>
      <c r="N125" s="56"/>
      <c r="O125" s="55"/>
      <c r="P125" s="14"/>
      <c r="Q125" s="9"/>
      <c r="R125" s="14"/>
      <c r="S125" s="10"/>
      <c r="T125" s="14"/>
      <c r="U125" s="56"/>
      <c r="V125" s="9"/>
      <c r="W125" s="14"/>
      <c r="X125" s="10"/>
      <c r="Y125" s="14"/>
      <c r="Z125" s="56"/>
      <c r="AA125" s="9">
        <v>9097364.580000002</v>
      </c>
      <c r="AB125" s="14">
        <v>0.14080521184984843</v>
      </c>
      <c r="AC125" s="10">
        <v>487</v>
      </c>
      <c r="AD125" s="14">
        <v>0.10887547507265817</v>
      </c>
      <c r="AE125" s="56"/>
      <c r="AF125" s="9">
        <v>8432064.870000001</v>
      </c>
      <c r="AG125" s="14">
        <v>0.1508141383751517</v>
      </c>
      <c r="AH125" s="10">
        <v>452</v>
      </c>
      <c r="AI125" s="14">
        <v>0.11269010221889803</v>
      </c>
      <c r="AJ125" s="56"/>
      <c r="AK125" s="9">
        <v>7281830.6800000025</v>
      </c>
      <c r="AL125" s="14">
        <v>0.15829986709482385</v>
      </c>
      <c r="AM125" s="10">
        <v>389</v>
      </c>
      <c r="AN125" s="14">
        <v>0.11158921399885255</v>
      </c>
      <c r="AO125" s="56"/>
      <c r="AP125" s="9">
        <v>40390288.09</v>
      </c>
      <c r="AQ125" s="14">
        <v>0.5541417960580648</v>
      </c>
      <c r="AR125" s="10">
        <v>1730</v>
      </c>
      <c r="AS125" s="14">
        <v>0.38393253439857966</v>
      </c>
      <c r="AT125" s="56"/>
      <c r="AU125" s="9">
        <v>36584777.010000065</v>
      </c>
      <c r="AV125" s="14">
        <v>0.5525752449880775</v>
      </c>
      <c r="AW125" s="10">
        <v>1543</v>
      </c>
      <c r="AX125" s="14">
        <v>0.39963739963739964</v>
      </c>
      <c r="AY125" s="56"/>
      <c r="AZ125" s="9">
        <v>31688686.929999996</v>
      </c>
      <c r="BA125" s="14">
        <v>0.48667032651569075</v>
      </c>
      <c r="BB125" s="10">
        <v>1315</v>
      </c>
      <c r="BC125" s="14">
        <v>0.35598267460747157</v>
      </c>
      <c r="BD125" s="56"/>
      <c r="BE125" s="9">
        <v>26610176.22999999</v>
      </c>
      <c r="BF125" s="14">
        <v>0.29558347292668413</v>
      </c>
      <c r="BG125" s="10">
        <v>1096</v>
      </c>
      <c r="BH125" s="14">
        <v>0.23728079670924443</v>
      </c>
      <c r="BI125" s="56"/>
      <c r="BJ125" s="9">
        <v>22687515.28999997</v>
      </c>
      <c r="BK125" s="14">
        <v>0.23808422579491959</v>
      </c>
      <c r="BL125" s="10">
        <v>929</v>
      </c>
      <c r="BM125" s="14">
        <v>0.1967803431476382</v>
      </c>
      <c r="BN125" s="56"/>
      <c r="BO125" s="9">
        <v>18857210.17999998</v>
      </c>
      <c r="BP125" s="14">
        <v>0.19068640795942676</v>
      </c>
      <c r="BQ125" s="10">
        <v>767</v>
      </c>
      <c r="BR125" s="14">
        <v>0.16126997476871321</v>
      </c>
      <c r="BS125" s="56"/>
      <c r="BT125" s="9">
        <v>15570817.859999994</v>
      </c>
      <c r="BU125" s="14">
        <v>0.1512758344690165</v>
      </c>
      <c r="BV125" s="10">
        <v>630</v>
      </c>
      <c r="BW125" s="14">
        <v>0.13177159590043924</v>
      </c>
      <c r="BX125" s="56"/>
      <c r="BY125" s="9">
        <v>13190921.199999992</v>
      </c>
      <c r="BZ125" s="14">
        <v>0.12216556312165303</v>
      </c>
      <c r="CA125" s="10">
        <v>531</v>
      </c>
      <c r="CB125" s="14">
        <v>0.10986964618249534</v>
      </c>
      <c r="CC125" s="56"/>
    </row>
    <row r="126" spans="1:81" ht="12.75">
      <c r="A126" s="24">
        <v>2003</v>
      </c>
      <c r="B126" s="8"/>
      <c r="C126" s="8"/>
      <c r="D126" s="9"/>
      <c r="E126" s="14"/>
      <c r="F126" s="10"/>
      <c r="G126" s="14"/>
      <c r="H126" s="8"/>
      <c r="I126" s="8"/>
      <c r="J126" s="9"/>
      <c r="K126" s="14"/>
      <c r="L126" s="10"/>
      <c r="M126" s="14"/>
      <c r="N126" s="56"/>
      <c r="O126" s="55"/>
      <c r="P126" s="14"/>
      <c r="Q126" s="9"/>
      <c r="R126" s="14"/>
      <c r="S126" s="10"/>
      <c r="T126" s="14"/>
      <c r="U126" s="56"/>
      <c r="V126" s="9"/>
      <c r="W126" s="14"/>
      <c r="X126" s="10"/>
      <c r="Y126" s="14"/>
      <c r="Z126" s="56"/>
      <c r="AA126" s="9"/>
      <c r="AB126" s="14"/>
      <c r="AC126" s="10"/>
      <c r="AD126" s="14"/>
      <c r="AE126" s="56"/>
      <c r="AF126" s="9"/>
      <c r="AG126" s="14"/>
      <c r="AH126" s="10"/>
      <c r="AI126" s="14"/>
      <c r="AJ126" s="56"/>
      <c r="AK126" s="9"/>
      <c r="AL126" s="14"/>
      <c r="AM126" s="10"/>
      <c r="AN126" s="14"/>
      <c r="AO126" s="56"/>
      <c r="AP126" s="9">
        <v>13824.47</v>
      </c>
      <c r="AQ126" s="14">
        <v>0.00018966729373855363</v>
      </c>
      <c r="AR126" s="10">
        <v>1</v>
      </c>
      <c r="AS126" s="14">
        <v>0.00022192632046160674</v>
      </c>
      <c r="AT126" s="56"/>
      <c r="AU126" s="9">
        <v>2913147.23</v>
      </c>
      <c r="AV126" s="14">
        <v>0.04400007806152776</v>
      </c>
      <c r="AW126" s="10">
        <v>121</v>
      </c>
      <c r="AX126" s="14">
        <v>0.03133903133903134</v>
      </c>
      <c r="AY126" s="56"/>
      <c r="AZ126" s="9">
        <v>11627274.460000003</v>
      </c>
      <c r="BA126" s="14">
        <v>0.17857001997071242</v>
      </c>
      <c r="BB126" s="10">
        <v>486</v>
      </c>
      <c r="BC126" s="14">
        <v>0.13156469951272334</v>
      </c>
      <c r="BD126" s="56"/>
      <c r="BE126" s="9">
        <v>45599534.60999997</v>
      </c>
      <c r="BF126" s="14">
        <v>0.5065155783774502</v>
      </c>
      <c r="BG126" s="10">
        <v>1872</v>
      </c>
      <c r="BH126" s="14">
        <v>0.40528252868586273</v>
      </c>
      <c r="BI126" s="56"/>
      <c r="BJ126" s="9">
        <v>57943837.20999993</v>
      </c>
      <c r="BK126" s="14">
        <v>0.6080663063094603</v>
      </c>
      <c r="BL126" s="10">
        <v>2347</v>
      </c>
      <c r="BM126" s="14">
        <v>0.4971404363482313</v>
      </c>
      <c r="BN126" s="56"/>
      <c r="BO126" s="9">
        <v>67665422.74000007</v>
      </c>
      <c r="BP126" s="14">
        <v>0.6842410028940314</v>
      </c>
      <c r="BQ126" s="10">
        <v>2691</v>
      </c>
      <c r="BR126" s="14">
        <v>0.565811606391926</v>
      </c>
      <c r="BS126" s="56"/>
      <c r="BT126" s="9">
        <v>57545003.72999993</v>
      </c>
      <c r="BU126" s="14">
        <v>0.5590694424048969</v>
      </c>
      <c r="BV126" s="10">
        <v>2252</v>
      </c>
      <c r="BW126" s="14">
        <v>0.4710311650282368</v>
      </c>
      <c r="BX126" s="56"/>
      <c r="BY126" s="9">
        <v>48319579.51000005</v>
      </c>
      <c r="BZ126" s="14">
        <v>0.447503896895438</v>
      </c>
      <c r="CA126" s="10">
        <v>1872</v>
      </c>
      <c r="CB126" s="14">
        <v>0.38733705772811916</v>
      </c>
      <c r="CC126" s="56"/>
    </row>
    <row r="127" spans="1:81" ht="12.75">
      <c r="A127" s="24">
        <v>2004</v>
      </c>
      <c r="B127" s="8"/>
      <c r="C127" s="8"/>
      <c r="D127" s="9"/>
      <c r="E127" s="14"/>
      <c r="F127" s="10"/>
      <c r="G127" s="14"/>
      <c r="H127" s="8"/>
      <c r="I127" s="8"/>
      <c r="J127" s="9"/>
      <c r="K127" s="14"/>
      <c r="L127" s="10"/>
      <c r="M127" s="14"/>
      <c r="N127" s="56"/>
      <c r="O127" s="55"/>
      <c r="P127" s="14"/>
      <c r="Q127" s="9"/>
      <c r="R127" s="14"/>
      <c r="S127" s="10"/>
      <c r="T127" s="14"/>
      <c r="U127" s="56"/>
      <c r="V127" s="9"/>
      <c r="W127" s="14"/>
      <c r="X127" s="10"/>
      <c r="Y127" s="14"/>
      <c r="Z127" s="56"/>
      <c r="AA127" s="9"/>
      <c r="AB127" s="14"/>
      <c r="AC127" s="10"/>
      <c r="AD127" s="14"/>
      <c r="AE127" s="56"/>
      <c r="AF127" s="9"/>
      <c r="AG127" s="14"/>
      <c r="AH127" s="10"/>
      <c r="AI127" s="14"/>
      <c r="AJ127" s="56"/>
      <c r="AK127" s="9"/>
      <c r="AL127" s="14"/>
      <c r="AM127" s="10"/>
      <c r="AN127" s="14"/>
      <c r="AO127" s="56"/>
      <c r="AP127" s="9"/>
      <c r="AQ127" s="14"/>
      <c r="AR127" s="10"/>
      <c r="AS127" s="14"/>
      <c r="AT127" s="56"/>
      <c r="AU127" s="9"/>
      <c r="AV127" s="14"/>
      <c r="AW127" s="10"/>
      <c r="AX127" s="14"/>
      <c r="AY127" s="56"/>
      <c r="AZ127" s="9"/>
      <c r="BA127" s="14"/>
      <c r="BB127" s="10"/>
      <c r="BC127" s="14"/>
      <c r="BD127" s="56"/>
      <c r="BE127" s="9"/>
      <c r="BF127" s="14"/>
      <c r="BG127" s="10"/>
      <c r="BH127" s="14"/>
      <c r="BI127" s="56"/>
      <c r="BJ127" s="9">
        <v>86635</v>
      </c>
      <c r="BK127" s="14">
        <v>0.0009091531901174924</v>
      </c>
      <c r="BL127" s="10">
        <v>11</v>
      </c>
      <c r="BM127" s="14">
        <v>0.0023300148273670833</v>
      </c>
      <c r="BN127" s="56"/>
      <c r="BO127" s="9">
        <v>323688.47</v>
      </c>
      <c r="BP127" s="14">
        <v>0.003273177264983039</v>
      </c>
      <c r="BQ127" s="10">
        <v>35</v>
      </c>
      <c r="BR127" s="14">
        <v>0.007359125315391085</v>
      </c>
      <c r="BS127" s="56"/>
      <c r="BT127" s="9">
        <v>19741293.470000003</v>
      </c>
      <c r="BU127" s="14">
        <v>0.19179343500277754</v>
      </c>
      <c r="BV127" s="10">
        <v>760</v>
      </c>
      <c r="BW127" s="14">
        <v>0.1589625601338632</v>
      </c>
      <c r="BX127" s="56"/>
      <c r="BY127" s="9">
        <v>37968374.24000002</v>
      </c>
      <c r="BZ127" s="14">
        <v>0.351637899242645</v>
      </c>
      <c r="CA127" s="10">
        <v>1403</v>
      </c>
      <c r="CB127" s="14">
        <v>0.29029588247465343</v>
      </c>
      <c r="CC127" s="56"/>
    </row>
    <row r="128" spans="1:81" ht="12.75">
      <c r="A128" s="8"/>
      <c r="B128" s="8"/>
      <c r="C128" s="8"/>
      <c r="D128" s="9"/>
      <c r="E128" s="8"/>
      <c r="F128" s="10"/>
      <c r="G128" s="8"/>
      <c r="H128" s="8"/>
      <c r="I128" s="8"/>
      <c r="J128" s="9"/>
      <c r="K128" s="8"/>
      <c r="L128" s="10"/>
      <c r="M128" s="63"/>
      <c r="N128" s="54"/>
      <c r="O128" s="55"/>
      <c r="P128" s="8"/>
      <c r="Q128" s="9"/>
      <c r="R128" s="8"/>
      <c r="S128" s="10"/>
      <c r="T128" s="63"/>
      <c r="U128" s="54"/>
      <c r="V128" s="9"/>
      <c r="W128" s="8"/>
      <c r="X128" s="10"/>
      <c r="Y128" s="63"/>
      <c r="Z128" s="54"/>
      <c r="AA128" s="9"/>
      <c r="AB128" s="8"/>
      <c r="AC128" s="10"/>
      <c r="AD128" s="63"/>
      <c r="AE128" s="54"/>
      <c r="AF128" s="9"/>
      <c r="AG128" s="8"/>
      <c r="AH128" s="10"/>
      <c r="AI128" s="63"/>
      <c r="AJ128" s="54"/>
      <c r="AK128" s="9"/>
      <c r="AL128" s="8"/>
      <c r="AM128" s="10"/>
      <c r="AN128" s="63"/>
      <c r="AO128" s="54"/>
      <c r="AP128" s="9"/>
      <c r="AQ128" s="8"/>
      <c r="AR128" s="10"/>
      <c r="AS128" s="63"/>
      <c r="AT128" s="54"/>
      <c r="AU128" s="9"/>
      <c r="AV128" s="8"/>
      <c r="AW128" s="10"/>
      <c r="AX128" s="63"/>
      <c r="AY128" s="54"/>
      <c r="AZ128" s="9"/>
      <c r="BA128" s="8"/>
      <c r="BB128" s="10"/>
      <c r="BC128" s="63"/>
      <c r="BD128" s="54"/>
      <c r="BE128" s="9"/>
      <c r="BF128" s="8"/>
      <c r="BG128" s="10"/>
      <c r="BH128" s="63"/>
      <c r="BI128" s="54"/>
      <c r="BJ128" s="9"/>
      <c r="BK128" s="8"/>
      <c r="BL128" s="10"/>
      <c r="BM128" s="63"/>
      <c r="BN128" s="54"/>
      <c r="BO128" s="9"/>
      <c r="BP128" s="8"/>
      <c r="BQ128" s="10"/>
      <c r="BR128" s="63"/>
      <c r="BS128" s="54"/>
      <c r="BT128" s="9"/>
      <c r="BU128" s="8"/>
      <c r="BV128" s="10"/>
      <c r="BW128" s="63"/>
      <c r="BX128" s="54"/>
      <c r="BY128" s="9"/>
      <c r="BZ128" s="8"/>
      <c r="CA128" s="10"/>
      <c r="CB128" s="63"/>
      <c r="CC128" s="54"/>
    </row>
    <row r="129" spans="1:81" ht="13.5" thickBot="1">
      <c r="A129" s="8"/>
      <c r="B129" s="8"/>
      <c r="C129" s="8"/>
      <c r="D129" s="21">
        <f>SUM(D119:D124)</f>
        <v>25729692.339999903</v>
      </c>
      <c r="E129" s="8"/>
      <c r="F129" s="22">
        <f>SUM(F119:F124)</f>
        <v>1858</v>
      </c>
      <c r="G129" s="8"/>
      <c r="H129" s="8"/>
      <c r="I129" s="8"/>
      <c r="J129" s="21">
        <f>SUM(J119:J124)</f>
        <v>24456072.85000001</v>
      </c>
      <c r="K129" s="8"/>
      <c r="L129" s="22">
        <f>SUM(L119:L124)</f>
        <v>1789</v>
      </c>
      <c r="M129" s="30"/>
      <c r="N129" s="54"/>
      <c r="O129" s="31"/>
      <c r="P129" s="8"/>
      <c r="Q129" s="21">
        <f>SUM(Q119:Q124)</f>
        <v>58998886.359999776</v>
      </c>
      <c r="R129" s="8"/>
      <c r="S129" s="22">
        <f>SUM(S119:S124)</f>
        <v>4195</v>
      </c>
      <c r="T129" s="30"/>
      <c r="U129" s="54"/>
      <c r="V129" s="21">
        <f>SUM(V119:V124)</f>
        <v>63235264.77999972</v>
      </c>
      <c r="W129" s="8"/>
      <c r="X129" s="22">
        <f>SUM(X119:X124)</f>
        <v>4406</v>
      </c>
      <c r="Y129" s="30"/>
      <c r="Z129" s="54"/>
      <c r="AA129" s="21">
        <f>SUM(AA119:AA125)</f>
        <v>64609572.760000035</v>
      </c>
      <c r="AB129" s="8"/>
      <c r="AC129" s="22">
        <f>SUM(AC119:AC125)</f>
        <v>4473</v>
      </c>
      <c r="AD129" s="30"/>
      <c r="AE129" s="54"/>
      <c r="AF129" s="21">
        <f>SUM(AF119:AF125)</f>
        <v>55910307.620000154</v>
      </c>
      <c r="AG129" s="8"/>
      <c r="AH129" s="22">
        <f>SUM(AH119:AH125)</f>
        <v>4011</v>
      </c>
      <c r="AI129" s="30"/>
      <c r="AJ129" s="54"/>
      <c r="AK129" s="21">
        <f>SUM(AK119:AK125)</f>
        <v>46000232.42999998</v>
      </c>
      <c r="AL129" s="8"/>
      <c r="AM129" s="22">
        <f>SUM(AM119:AM125)</f>
        <v>3486</v>
      </c>
      <c r="AN129" s="30"/>
      <c r="AO129" s="54"/>
      <c r="AP129" s="21">
        <f>SUM(AP119:AP126)</f>
        <v>72888001.54999998</v>
      </c>
      <c r="AQ129" s="8"/>
      <c r="AR129" s="22">
        <f>SUM(AR119:AR126)</f>
        <v>4506</v>
      </c>
      <c r="AS129" s="30"/>
      <c r="AT129" s="54"/>
      <c r="AU129" s="21">
        <f>SUM(AU119:AU126)</f>
        <v>66207774.13000002</v>
      </c>
      <c r="AV129" s="8"/>
      <c r="AW129" s="22">
        <f>SUM(AW119:AW126)</f>
        <v>3861</v>
      </c>
      <c r="AX129" s="30"/>
      <c r="AY129" s="54"/>
      <c r="AZ129" s="21">
        <f>SUM(AZ119:AZ126)</f>
        <v>65113250.6</v>
      </c>
      <c r="BA129" s="8"/>
      <c r="BB129" s="22">
        <f>SUM(BB119:BB126)</f>
        <v>3694</v>
      </c>
      <c r="BC129" s="30"/>
      <c r="BD129" s="54"/>
      <c r="BE129" s="21">
        <f>SUM(BE119:BE126)</f>
        <v>90025927.24999993</v>
      </c>
      <c r="BF129" s="8"/>
      <c r="BG129" s="22">
        <f>SUM(BG119:BG126)</f>
        <v>4619</v>
      </c>
      <c r="BH129" s="30"/>
      <c r="BI129" s="54"/>
      <c r="BJ129" s="21">
        <f>SUM(BJ119:BJ126)</f>
        <v>95205336.6299999</v>
      </c>
      <c r="BK129" s="8"/>
      <c r="BL129" s="22">
        <f>SUM(BL119:BL126)</f>
        <v>4710</v>
      </c>
      <c r="BM129" s="30"/>
      <c r="BN129" s="54"/>
      <c r="BO129" s="21">
        <f>SUM(BO119:BO127)</f>
        <v>98891212.97000003</v>
      </c>
      <c r="BP129" s="8"/>
      <c r="BQ129" s="22">
        <f>SUM(BQ119:BQ127)</f>
        <v>4756</v>
      </c>
      <c r="BR129" s="30"/>
      <c r="BS129" s="54"/>
      <c r="BT129" s="21">
        <f>SUM(BT119:BT127)</f>
        <v>102929974.99999993</v>
      </c>
      <c r="BU129" s="8"/>
      <c r="BV129" s="22">
        <f>SUM(BV119:BV127)</f>
        <v>4781</v>
      </c>
      <c r="BW129" s="30"/>
      <c r="BX129" s="54"/>
      <c r="BY129" s="21">
        <f>SUM(BY119:BY127)</f>
        <v>107975773.72000006</v>
      </c>
      <c r="BZ129" s="8"/>
      <c r="CA129" s="22">
        <f>SUM(CA119:CA127)</f>
        <v>4833</v>
      </c>
      <c r="CB129" s="30"/>
      <c r="CC129" s="54"/>
    </row>
    <row r="130" spans="1:81" ht="13.5" thickTop="1">
      <c r="A130" s="8"/>
      <c r="B130" s="8"/>
      <c r="C130" s="8"/>
      <c r="D130" s="9"/>
      <c r="E130" s="8"/>
      <c r="F130" s="10"/>
      <c r="G130" s="8"/>
      <c r="H130" s="8"/>
      <c r="I130" s="8"/>
      <c r="J130" s="9"/>
      <c r="K130" s="8"/>
      <c r="L130" s="10"/>
      <c r="M130" s="63"/>
      <c r="N130" s="54"/>
      <c r="O130" s="55"/>
      <c r="P130" s="8"/>
      <c r="Q130" s="9"/>
      <c r="R130" s="8"/>
      <c r="S130" s="10"/>
      <c r="T130" s="63"/>
      <c r="U130" s="54"/>
      <c r="V130" s="9"/>
      <c r="W130" s="8"/>
      <c r="X130" s="10"/>
      <c r="Y130" s="63"/>
      <c r="Z130" s="54"/>
      <c r="AA130" s="9"/>
      <c r="AB130" s="8"/>
      <c r="AC130" s="10"/>
      <c r="AD130" s="63"/>
      <c r="AE130" s="54"/>
      <c r="AF130" s="9"/>
      <c r="AG130" s="8"/>
      <c r="AH130" s="10"/>
      <c r="AI130" s="63"/>
      <c r="AJ130" s="54"/>
      <c r="AK130" s="9"/>
      <c r="AL130" s="8"/>
      <c r="AM130" s="10"/>
      <c r="AN130" s="63"/>
      <c r="AO130" s="54"/>
      <c r="AP130" s="9"/>
      <c r="AQ130" s="8"/>
      <c r="AR130" s="10"/>
      <c r="AS130" s="63"/>
      <c r="AT130" s="54"/>
      <c r="AU130" s="9"/>
      <c r="AV130" s="8"/>
      <c r="AW130" s="10"/>
      <c r="AX130" s="63"/>
      <c r="AY130" s="54"/>
      <c r="AZ130" s="9"/>
      <c r="BA130" s="8"/>
      <c r="BB130" s="10"/>
      <c r="BC130" s="63"/>
      <c r="BD130" s="54"/>
      <c r="BE130" s="9"/>
      <c r="BF130" s="8"/>
      <c r="BG130" s="10"/>
      <c r="BH130" s="63"/>
      <c r="BI130" s="54"/>
      <c r="BJ130" s="9"/>
      <c r="BK130" s="8"/>
      <c r="BL130" s="10"/>
      <c r="BM130" s="63"/>
      <c r="BN130" s="54"/>
      <c r="BO130" s="9"/>
      <c r="BP130" s="8"/>
      <c r="BQ130" s="10"/>
      <c r="BR130" s="63"/>
      <c r="BS130" s="54"/>
      <c r="BT130" s="9"/>
      <c r="BU130" s="8"/>
      <c r="BV130" s="10"/>
      <c r="BW130" s="63"/>
      <c r="BX130" s="54"/>
      <c r="BY130" s="9"/>
      <c r="BZ130" s="8"/>
      <c r="CA130" s="10"/>
      <c r="CB130" s="63"/>
      <c r="CC130" s="54"/>
    </row>
    <row r="131" spans="1:81" ht="12.75">
      <c r="A131" s="8"/>
      <c r="B131" s="8"/>
      <c r="C131" s="8"/>
      <c r="D131" s="9"/>
      <c r="E131" s="8"/>
      <c r="F131" s="10"/>
      <c r="G131" s="8"/>
      <c r="H131" s="8"/>
      <c r="I131" s="8"/>
      <c r="J131" s="8"/>
      <c r="K131" s="8"/>
      <c r="L131" s="8"/>
      <c r="M131" s="9"/>
      <c r="N131" s="8"/>
      <c r="O131" s="10"/>
      <c r="P131" s="8"/>
      <c r="Q131" s="8"/>
      <c r="R131" s="8"/>
      <c r="S131" s="8"/>
      <c r="T131" s="9"/>
      <c r="U131" s="8"/>
      <c r="V131" s="8"/>
      <c r="W131" s="8"/>
      <c r="X131" s="8"/>
      <c r="Y131" s="9"/>
      <c r="Z131" s="8"/>
      <c r="AA131" s="8"/>
      <c r="AB131" s="8"/>
      <c r="AC131" s="8"/>
      <c r="AD131" s="9"/>
      <c r="AE131" s="8"/>
      <c r="AF131" s="8"/>
      <c r="AG131" s="8"/>
      <c r="AH131" s="8"/>
      <c r="AI131" s="9"/>
      <c r="AJ131" s="8"/>
      <c r="AK131" s="8"/>
      <c r="AL131" s="8"/>
      <c r="AM131" s="8"/>
      <c r="AN131" s="9"/>
      <c r="AO131" s="8"/>
      <c r="AP131" s="8"/>
      <c r="AQ131" s="8"/>
      <c r="AR131" s="8"/>
      <c r="AS131" s="9"/>
      <c r="AT131" s="8"/>
      <c r="AU131" s="8"/>
      <c r="AV131" s="8"/>
      <c r="AW131" s="8"/>
      <c r="AX131" s="9"/>
      <c r="AY131" s="8"/>
      <c r="AZ131" s="8"/>
      <c r="BA131" s="8"/>
      <c r="BB131" s="8"/>
      <c r="BC131" s="9"/>
      <c r="BD131" s="8"/>
      <c r="BE131" s="8"/>
      <c r="BF131" s="8"/>
      <c r="BG131" s="8"/>
      <c r="BH131" s="9"/>
      <c r="BI131" s="8"/>
      <c r="BJ131" s="8"/>
      <c r="BK131" s="8"/>
      <c r="BL131" s="8"/>
      <c r="BM131" s="9"/>
      <c r="BN131" s="8"/>
      <c r="BO131" s="8"/>
      <c r="BP131" s="8"/>
      <c r="BQ131" s="8"/>
      <c r="BR131" s="9"/>
      <c r="BS131" s="8"/>
      <c r="BT131" s="8"/>
      <c r="BU131" s="8"/>
      <c r="BV131" s="8"/>
      <c r="BW131" s="9"/>
      <c r="BX131" s="8"/>
      <c r="BY131" s="8"/>
      <c r="BZ131" s="8"/>
      <c r="CA131" s="8"/>
      <c r="CB131" s="9"/>
      <c r="CC131" s="8"/>
    </row>
    <row r="132" spans="1:81" ht="12.75">
      <c r="A132" s="19" t="s">
        <v>129</v>
      </c>
      <c r="B132" s="8"/>
      <c r="C132" s="8"/>
      <c r="D132" s="9"/>
      <c r="E132" s="8"/>
      <c r="F132" s="10"/>
      <c r="G132" s="8"/>
      <c r="H132" s="8"/>
      <c r="I132" s="8"/>
      <c r="J132" s="19" t="s">
        <v>129</v>
      </c>
      <c r="K132" s="8"/>
      <c r="L132" s="8"/>
      <c r="M132" s="9"/>
      <c r="N132" s="8"/>
      <c r="O132" s="10"/>
      <c r="P132" s="8"/>
      <c r="Q132" s="19" t="s">
        <v>129</v>
      </c>
      <c r="R132" s="8"/>
      <c r="S132" s="8"/>
      <c r="T132" s="9"/>
      <c r="U132" s="8"/>
      <c r="V132" s="19" t="s">
        <v>129</v>
      </c>
      <c r="W132" s="8"/>
      <c r="X132" s="8"/>
      <c r="Y132" s="9"/>
      <c r="Z132" s="8"/>
      <c r="AA132" s="19" t="s">
        <v>129</v>
      </c>
      <c r="AB132" s="8"/>
      <c r="AC132" s="8"/>
      <c r="AD132" s="9"/>
      <c r="AE132" s="8"/>
      <c r="AF132" s="19" t="s">
        <v>129</v>
      </c>
      <c r="AG132" s="8"/>
      <c r="AH132" s="8"/>
      <c r="AI132" s="9"/>
      <c r="AJ132" s="8"/>
      <c r="AK132" s="19" t="s">
        <v>129</v>
      </c>
      <c r="AL132" s="8"/>
      <c r="AM132" s="8"/>
      <c r="AN132" s="9"/>
      <c r="AO132" s="8"/>
      <c r="AP132" s="19" t="s">
        <v>129</v>
      </c>
      <c r="AQ132" s="8"/>
      <c r="AR132" s="8"/>
      <c r="AS132" s="9"/>
      <c r="AT132" s="8"/>
      <c r="AU132" s="19" t="s">
        <v>129</v>
      </c>
      <c r="AV132" s="8"/>
      <c r="AW132" s="8"/>
      <c r="AX132" s="9"/>
      <c r="AY132" s="8"/>
      <c r="AZ132" s="19" t="s">
        <v>129</v>
      </c>
      <c r="BA132" s="8"/>
      <c r="BB132" s="8"/>
      <c r="BC132" s="9"/>
      <c r="BD132" s="8"/>
      <c r="BE132" s="19" t="s">
        <v>129</v>
      </c>
      <c r="BF132" s="8"/>
      <c r="BG132" s="8"/>
      <c r="BH132" s="9"/>
      <c r="BI132" s="8"/>
      <c r="BJ132" s="19" t="s">
        <v>129</v>
      </c>
      <c r="BK132" s="8"/>
      <c r="BL132" s="8"/>
      <c r="BM132" s="9"/>
      <c r="BN132" s="8"/>
      <c r="BO132" s="19" t="s">
        <v>129</v>
      </c>
      <c r="BP132" s="8"/>
      <c r="BQ132" s="8"/>
      <c r="BR132" s="9"/>
      <c r="BS132" s="8"/>
      <c r="BT132" s="19" t="s">
        <v>129</v>
      </c>
      <c r="BU132" s="8"/>
      <c r="BV132" s="8"/>
      <c r="BW132" s="9"/>
      <c r="BX132" s="8"/>
      <c r="BY132" s="19" t="s">
        <v>129</v>
      </c>
      <c r="BZ132" s="8"/>
      <c r="CA132" s="8"/>
      <c r="CB132" s="9"/>
      <c r="CC132" s="8"/>
    </row>
    <row r="133" spans="1:81" ht="12.75">
      <c r="A133" s="19"/>
      <c r="B133" s="8"/>
      <c r="C133" s="8"/>
      <c r="D133" s="9"/>
      <c r="E133" s="8"/>
      <c r="F133" s="10"/>
      <c r="G133" s="8"/>
      <c r="H133" s="8"/>
      <c r="I133" s="8"/>
      <c r="J133" s="19"/>
      <c r="K133" s="8"/>
      <c r="L133" s="8"/>
      <c r="M133" s="9"/>
      <c r="N133" s="8"/>
      <c r="O133" s="10"/>
      <c r="P133" s="8"/>
      <c r="Q133" s="19"/>
      <c r="R133" s="8"/>
      <c r="S133" s="8"/>
      <c r="T133" s="9"/>
      <c r="U133" s="8"/>
      <c r="V133" s="19"/>
      <c r="W133" s="8"/>
      <c r="X133" s="8"/>
      <c r="Y133" s="9"/>
      <c r="Z133" s="8"/>
      <c r="AA133" s="19"/>
      <c r="AB133" s="8"/>
      <c r="AC133" s="8"/>
      <c r="AD133" s="9"/>
      <c r="AE133" s="8"/>
      <c r="AF133" s="19"/>
      <c r="AG133" s="8"/>
      <c r="AH133" s="8"/>
      <c r="AI133" s="9"/>
      <c r="AJ133" s="8"/>
      <c r="AK133" s="19"/>
      <c r="AL133" s="8"/>
      <c r="AM133" s="8"/>
      <c r="AN133" s="9"/>
      <c r="AO133" s="8"/>
      <c r="AP133" s="19"/>
      <c r="AQ133" s="8"/>
      <c r="AR133" s="8"/>
      <c r="AS133" s="9"/>
      <c r="AT133" s="8"/>
      <c r="AU133" s="19"/>
      <c r="AV133" s="8"/>
      <c r="AW133" s="8"/>
      <c r="AX133" s="9"/>
      <c r="AY133" s="8"/>
      <c r="AZ133" s="19"/>
      <c r="BA133" s="8"/>
      <c r="BB133" s="8"/>
      <c r="BC133" s="9"/>
      <c r="BD133" s="8"/>
      <c r="BE133" s="19"/>
      <c r="BF133" s="8"/>
      <c r="BG133" s="8"/>
      <c r="BH133" s="9"/>
      <c r="BI133" s="8"/>
      <c r="BJ133" s="19"/>
      <c r="BK133" s="8"/>
      <c r="BL133" s="8"/>
      <c r="BM133" s="9"/>
      <c r="BN133" s="8"/>
      <c r="BO133" s="19"/>
      <c r="BP133" s="8"/>
      <c r="BQ133" s="8"/>
      <c r="BR133" s="9"/>
      <c r="BS133" s="8"/>
      <c r="BT133" s="19"/>
      <c r="BU133" s="8"/>
      <c r="BV133" s="8"/>
      <c r="BW133" s="9"/>
      <c r="BX133" s="8"/>
      <c r="BY133" s="19"/>
      <c r="BZ133" s="8"/>
      <c r="CA133" s="8"/>
      <c r="CB133" s="9"/>
      <c r="CC133" s="8"/>
    </row>
    <row r="134" spans="1:81" s="29" customFormat="1" ht="12.75">
      <c r="A134" s="25"/>
      <c r="B134" s="26"/>
      <c r="C134" s="26"/>
      <c r="D134" s="27" t="s">
        <v>99</v>
      </c>
      <c r="E134" s="26" t="s">
        <v>100</v>
      </c>
      <c r="F134" s="28" t="s">
        <v>101</v>
      </c>
      <c r="G134" s="26" t="s">
        <v>100</v>
      </c>
      <c r="H134" s="25"/>
      <c r="I134" s="25"/>
      <c r="J134" s="27" t="s">
        <v>99</v>
      </c>
      <c r="K134" s="26" t="s">
        <v>100</v>
      </c>
      <c r="L134" s="28" t="s">
        <v>101</v>
      </c>
      <c r="M134" s="26" t="s">
        <v>100</v>
      </c>
      <c r="N134" s="64"/>
      <c r="O134" s="65"/>
      <c r="P134" s="26" t="s">
        <v>100</v>
      </c>
      <c r="Q134" s="27" t="s">
        <v>99</v>
      </c>
      <c r="R134" s="26" t="s">
        <v>100</v>
      </c>
      <c r="S134" s="28" t="s">
        <v>101</v>
      </c>
      <c r="T134" s="26" t="s">
        <v>100</v>
      </c>
      <c r="U134" s="64"/>
      <c r="V134" s="27" t="s">
        <v>99</v>
      </c>
      <c r="W134" s="26" t="s">
        <v>100</v>
      </c>
      <c r="X134" s="28" t="s">
        <v>101</v>
      </c>
      <c r="Y134" s="26" t="s">
        <v>100</v>
      </c>
      <c r="Z134" s="64"/>
      <c r="AA134" s="27" t="s">
        <v>99</v>
      </c>
      <c r="AB134" s="26" t="s">
        <v>100</v>
      </c>
      <c r="AC134" s="28" t="s">
        <v>101</v>
      </c>
      <c r="AD134" s="26" t="s">
        <v>100</v>
      </c>
      <c r="AE134" s="64"/>
      <c r="AF134" s="27" t="s">
        <v>99</v>
      </c>
      <c r="AG134" s="26" t="s">
        <v>100</v>
      </c>
      <c r="AH134" s="28" t="s">
        <v>101</v>
      </c>
      <c r="AI134" s="26" t="s">
        <v>100</v>
      </c>
      <c r="AJ134" s="64"/>
      <c r="AK134" s="27" t="s">
        <v>99</v>
      </c>
      <c r="AL134" s="26" t="s">
        <v>100</v>
      </c>
      <c r="AM134" s="28" t="s">
        <v>101</v>
      </c>
      <c r="AN134" s="26" t="s">
        <v>100</v>
      </c>
      <c r="AO134" s="64"/>
      <c r="AP134" s="89" t="s">
        <v>99</v>
      </c>
      <c r="AQ134" s="44" t="s">
        <v>100</v>
      </c>
      <c r="AR134" s="88" t="s">
        <v>101</v>
      </c>
      <c r="AS134" s="44" t="s">
        <v>100</v>
      </c>
      <c r="AT134" s="64"/>
      <c r="AU134" s="89" t="s">
        <v>99</v>
      </c>
      <c r="AV134" s="44" t="s">
        <v>100</v>
      </c>
      <c r="AW134" s="88" t="s">
        <v>101</v>
      </c>
      <c r="AX134" s="44" t="s">
        <v>100</v>
      </c>
      <c r="AY134" s="64"/>
      <c r="AZ134" s="89" t="s">
        <v>99</v>
      </c>
      <c r="BA134" s="44" t="s">
        <v>100</v>
      </c>
      <c r="BB134" s="88" t="s">
        <v>101</v>
      </c>
      <c r="BC134" s="44" t="s">
        <v>100</v>
      </c>
      <c r="BD134" s="64"/>
      <c r="BE134" s="89" t="s">
        <v>99</v>
      </c>
      <c r="BF134" s="44" t="s">
        <v>100</v>
      </c>
      <c r="BG134" s="88" t="s">
        <v>101</v>
      </c>
      <c r="BH134" s="44" t="s">
        <v>100</v>
      </c>
      <c r="BI134" s="64"/>
      <c r="BJ134" s="89" t="s">
        <v>99</v>
      </c>
      <c r="BK134" s="44" t="s">
        <v>100</v>
      </c>
      <c r="BL134" s="88" t="s">
        <v>101</v>
      </c>
      <c r="BM134" s="44" t="s">
        <v>100</v>
      </c>
      <c r="BN134" s="64"/>
      <c r="BO134" s="89" t="s">
        <v>99</v>
      </c>
      <c r="BP134" s="44" t="s">
        <v>100</v>
      </c>
      <c r="BQ134" s="88" t="s">
        <v>101</v>
      </c>
      <c r="BR134" s="44" t="s">
        <v>100</v>
      </c>
      <c r="BS134" s="64"/>
      <c r="BT134" s="89" t="s">
        <v>99</v>
      </c>
      <c r="BU134" s="44" t="s">
        <v>100</v>
      </c>
      <c r="BV134" s="88" t="s">
        <v>101</v>
      </c>
      <c r="BW134" s="44" t="s">
        <v>100</v>
      </c>
      <c r="BX134" s="64"/>
      <c r="BY134" s="89" t="s">
        <v>99</v>
      </c>
      <c r="BZ134" s="44" t="s">
        <v>100</v>
      </c>
      <c r="CA134" s="88" t="s">
        <v>101</v>
      </c>
      <c r="CB134" s="44" t="s">
        <v>100</v>
      </c>
      <c r="CC134" s="64"/>
    </row>
    <row r="135" spans="1:81" ht="12.75">
      <c r="A135" s="12"/>
      <c r="B135" s="8"/>
      <c r="C135" s="8"/>
      <c r="D135" s="9"/>
      <c r="E135" s="8"/>
      <c r="F135" s="10"/>
      <c r="G135" s="8"/>
      <c r="H135" s="8"/>
      <c r="I135" s="8"/>
      <c r="J135" s="9"/>
      <c r="K135" s="8"/>
      <c r="L135" s="10"/>
      <c r="N135" s="54"/>
      <c r="O135" s="55"/>
      <c r="P135" s="8"/>
      <c r="Q135" s="9"/>
      <c r="R135" s="8"/>
      <c r="S135" s="10"/>
      <c r="T135" s="34"/>
      <c r="U135" s="54"/>
      <c r="V135" s="9"/>
      <c r="W135" s="8"/>
      <c r="X135" s="10"/>
      <c r="Y135" s="34"/>
      <c r="Z135" s="54"/>
      <c r="AA135" s="9"/>
      <c r="AB135" s="8"/>
      <c r="AC135" s="10"/>
      <c r="AD135" s="34"/>
      <c r="AE135" s="54"/>
      <c r="AF135" s="9"/>
      <c r="AG135" s="8"/>
      <c r="AH135" s="10"/>
      <c r="AI135" s="34"/>
      <c r="AJ135" s="54"/>
      <c r="AK135" s="9"/>
      <c r="AL135" s="8"/>
      <c r="AM135" s="10"/>
      <c r="AN135" s="34"/>
      <c r="AO135" s="54"/>
      <c r="AP135" s="9"/>
      <c r="AQ135" s="8"/>
      <c r="AR135" s="10"/>
      <c r="AS135" s="34"/>
      <c r="AT135" s="54"/>
      <c r="AU135" s="9"/>
      <c r="AV135" s="8"/>
      <c r="AW135" s="10"/>
      <c r="AX135" s="34"/>
      <c r="AY135" s="54"/>
      <c r="AZ135" s="9"/>
      <c r="BA135" s="8"/>
      <c r="BB135" s="10"/>
      <c r="BC135" s="34"/>
      <c r="BD135" s="54"/>
      <c r="BE135" s="9"/>
      <c r="BF135" s="8"/>
      <c r="BG135" s="10"/>
      <c r="BH135" s="34"/>
      <c r="BI135" s="54"/>
      <c r="BJ135" s="9"/>
      <c r="BK135" s="8"/>
      <c r="BL135" s="10"/>
      <c r="BM135" s="34"/>
      <c r="BN135" s="54"/>
      <c r="BO135" s="9"/>
      <c r="BP135" s="8"/>
      <c r="BQ135" s="10"/>
      <c r="BR135" s="34"/>
      <c r="BS135" s="54"/>
      <c r="BT135" s="9"/>
      <c r="BU135" s="8"/>
      <c r="BV135" s="10"/>
      <c r="BW135" s="34"/>
      <c r="BX135" s="54"/>
      <c r="BY135" s="9"/>
      <c r="BZ135" s="8"/>
      <c r="CA135" s="10"/>
      <c r="CB135" s="34"/>
      <c r="CC135" s="54"/>
    </row>
    <row r="136" spans="1:81" ht="12.75">
      <c r="A136" s="8" t="s">
        <v>81</v>
      </c>
      <c r="B136" s="8"/>
      <c r="C136" s="8"/>
      <c r="D136" s="9">
        <f>20254901.61-23229.83</f>
        <v>20231671.78</v>
      </c>
      <c r="E136" s="14">
        <f>+D136/D139</f>
        <v>0.7863161172956332</v>
      </c>
      <c r="F136" s="10">
        <v>1465</v>
      </c>
      <c r="G136" s="14">
        <f>+F136/F139</f>
        <v>0.7884822389666308</v>
      </c>
      <c r="H136" s="8"/>
      <c r="I136" s="8"/>
      <c r="J136" s="9">
        <v>19245689.119999968</v>
      </c>
      <c r="K136" s="14">
        <f>+J136/J139</f>
        <v>0.7869492881396939</v>
      </c>
      <c r="L136" s="10">
        <v>1408</v>
      </c>
      <c r="M136" s="14">
        <f>+L136/L139</f>
        <v>0.7870318613750699</v>
      </c>
      <c r="N136" s="56"/>
      <c r="O136" s="55"/>
      <c r="P136" s="14">
        <v>0.7870318613750699</v>
      </c>
      <c r="Q136" s="9">
        <v>45176181.29999985</v>
      </c>
      <c r="R136" s="14">
        <v>0.7657124411525917</v>
      </c>
      <c r="S136" s="10">
        <v>3237</v>
      </c>
      <c r="T136" s="14">
        <v>0.7716328963051251</v>
      </c>
      <c r="U136" s="56"/>
      <c r="V136" s="9">
        <v>49523015.14999971</v>
      </c>
      <c r="W136" s="14">
        <v>0.7831550215262646</v>
      </c>
      <c r="X136" s="10">
        <v>3451</v>
      </c>
      <c r="Y136" s="14">
        <v>0.783250113481616</v>
      </c>
      <c r="Z136" s="56"/>
      <c r="AA136" s="9">
        <v>51948250.72000006</v>
      </c>
      <c r="AB136" s="14">
        <v>0.8040333421328756</v>
      </c>
      <c r="AC136" s="10">
        <v>3587</v>
      </c>
      <c r="AD136" s="14">
        <v>0.8019226469930695</v>
      </c>
      <c r="AE136" s="56"/>
      <c r="AF136" s="9">
        <v>45989870.520000085</v>
      </c>
      <c r="AG136" s="14">
        <v>0.8225651490343209</v>
      </c>
      <c r="AH136" s="10">
        <v>3299</v>
      </c>
      <c r="AI136" s="14">
        <v>0.8224881575666916</v>
      </c>
      <c r="AJ136" s="56"/>
      <c r="AK136" s="9">
        <v>38404099.99999996</v>
      </c>
      <c r="AL136" s="14">
        <v>0.834867520690047</v>
      </c>
      <c r="AM136" s="10">
        <v>2912</v>
      </c>
      <c r="AN136" s="14">
        <v>0.8353413654618473</v>
      </c>
      <c r="AO136" s="56"/>
      <c r="AP136" s="9">
        <v>66027788.709999725</v>
      </c>
      <c r="AQ136" s="14">
        <v>0.9058800804780739</v>
      </c>
      <c r="AR136" s="10">
        <v>3993</v>
      </c>
      <c r="AS136" s="14">
        <v>0.8861517976031957</v>
      </c>
      <c r="AT136" s="56"/>
      <c r="AU136" s="9">
        <v>60160165.030000135</v>
      </c>
      <c r="AV136" s="14">
        <v>0.9086571149767787</v>
      </c>
      <c r="AW136" s="10">
        <v>3403</v>
      </c>
      <c r="AX136" s="14">
        <v>0.8813778813778814</v>
      </c>
      <c r="AY136" s="56"/>
      <c r="AZ136" s="9">
        <v>59883017.14000013</v>
      </c>
      <c r="BA136" s="14">
        <v>0.9196748217635444</v>
      </c>
      <c r="BB136" s="10">
        <v>3293</v>
      </c>
      <c r="BC136" s="14">
        <v>0.8914455874390904</v>
      </c>
      <c r="BD136" s="56"/>
      <c r="BE136" s="9">
        <v>85963405.91</v>
      </c>
      <c r="BF136" s="14">
        <v>0.9548738739594598</v>
      </c>
      <c r="BG136" s="10">
        <v>4281</v>
      </c>
      <c r="BH136" s="14">
        <v>0.9268239878761637</v>
      </c>
      <c r="BI136" s="56"/>
      <c r="BJ136" s="9">
        <v>92209977.66000006</v>
      </c>
      <c r="BK136" s="14">
        <v>0.9676573596150705</v>
      </c>
      <c r="BL136" s="10">
        <v>4448</v>
      </c>
      <c r="BM136" s="14">
        <v>0.9421732683753442</v>
      </c>
      <c r="BN136" s="56"/>
      <c r="BO136" s="9">
        <v>96406863.38</v>
      </c>
      <c r="BP136" s="14">
        <v>0.9724821168810465</v>
      </c>
      <c r="BQ136" s="10">
        <v>4523</v>
      </c>
      <c r="BR136" s="14">
        <v>0.947434819175778</v>
      </c>
      <c r="BS136" s="56"/>
      <c r="BT136" s="9">
        <v>100808060.41000019</v>
      </c>
      <c r="BU136" s="14">
        <v>0.9793848721910211</v>
      </c>
      <c r="BV136" s="10">
        <v>4580</v>
      </c>
      <c r="BW136" s="14">
        <v>0.9579585860698598</v>
      </c>
      <c r="BX136" s="56"/>
      <c r="BY136" s="9">
        <v>106031562.49999996</v>
      </c>
      <c r="BZ136" s="14">
        <v>0.9819940052011882</v>
      </c>
      <c r="CA136" s="10">
        <v>4651</v>
      </c>
      <c r="CB136" s="14">
        <v>0.9623422304986551</v>
      </c>
      <c r="CC136" s="56"/>
    </row>
    <row r="137" spans="1:81" ht="12.75">
      <c r="A137" s="8" t="s">
        <v>82</v>
      </c>
      <c r="B137" s="8"/>
      <c r="C137" s="8"/>
      <c r="D137" s="9">
        <v>5498020.560000006</v>
      </c>
      <c r="E137" s="14">
        <f>+D137/$D$139</f>
        <v>0.21368388270436678</v>
      </c>
      <c r="F137" s="10">
        <v>393</v>
      </c>
      <c r="G137" s="14">
        <f>+F137/$F$139</f>
        <v>0.21151776103336922</v>
      </c>
      <c r="H137" s="8"/>
      <c r="I137" s="8"/>
      <c r="J137" s="9">
        <v>5210383.729999995</v>
      </c>
      <c r="K137" s="14">
        <f>+J137/$J$139</f>
        <v>0.213050711860306</v>
      </c>
      <c r="L137" s="10">
        <v>381</v>
      </c>
      <c r="M137" s="14">
        <f>+L137/$L$139</f>
        <v>0.21296813862493014</v>
      </c>
      <c r="N137" s="56"/>
      <c r="O137" s="55"/>
      <c r="P137" s="14">
        <v>0.21296813862493014</v>
      </c>
      <c r="Q137" s="9">
        <v>13822705.060000023</v>
      </c>
      <c r="R137" s="14">
        <v>0.23428755884740826</v>
      </c>
      <c r="S137" s="10">
        <v>958</v>
      </c>
      <c r="T137" s="14">
        <v>0.22836710369487484</v>
      </c>
      <c r="U137" s="56"/>
      <c r="V137" s="9">
        <v>13712249.629999997</v>
      </c>
      <c r="W137" s="14">
        <v>0.21684497847373546</v>
      </c>
      <c r="X137" s="10">
        <v>955</v>
      </c>
      <c r="Y137" s="14">
        <v>0.21674988651838403</v>
      </c>
      <c r="Z137" s="56"/>
      <c r="AA137" s="9">
        <v>12661322.040000012</v>
      </c>
      <c r="AB137" s="14">
        <v>0.19596665786712436</v>
      </c>
      <c r="AC137" s="10">
        <v>886</v>
      </c>
      <c r="AD137" s="14">
        <v>0.19807735300693047</v>
      </c>
      <c r="AE137" s="56"/>
      <c r="AF137" s="9">
        <v>9920437.099999987</v>
      </c>
      <c r="AG137" s="14">
        <v>0.17743485096567913</v>
      </c>
      <c r="AH137" s="10">
        <v>712</v>
      </c>
      <c r="AI137" s="14">
        <v>0.1775118424333084</v>
      </c>
      <c r="AJ137" s="56"/>
      <c r="AK137" s="9">
        <v>7596132.429999998</v>
      </c>
      <c r="AL137" s="14">
        <v>0.165132479309953</v>
      </c>
      <c r="AM137" s="10">
        <v>574</v>
      </c>
      <c r="AN137" s="14">
        <v>0.1646586345381526</v>
      </c>
      <c r="AO137" s="56"/>
      <c r="AP137" s="9">
        <v>6860212.840000009</v>
      </c>
      <c r="AQ137" s="14">
        <v>0.09411991952192623</v>
      </c>
      <c r="AR137" s="10">
        <v>513</v>
      </c>
      <c r="AS137" s="14">
        <v>0.11384820239680427</v>
      </c>
      <c r="AT137" s="56"/>
      <c r="AU137" s="9">
        <v>6047609.100000005</v>
      </c>
      <c r="AV137" s="14">
        <v>0.09134288502322124</v>
      </c>
      <c r="AW137" s="10">
        <v>458</v>
      </c>
      <c r="AX137" s="14">
        <v>0.11862211862211862</v>
      </c>
      <c r="AY137" s="56"/>
      <c r="AZ137" s="9">
        <v>5230233.460000008</v>
      </c>
      <c r="BA137" s="14">
        <v>0.08032517823645557</v>
      </c>
      <c r="BB137" s="10">
        <v>401</v>
      </c>
      <c r="BC137" s="14">
        <v>0.10855441256090959</v>
      </c>
      <c r="BD137" s="56"/>
      <c r="BE137" s="9">
        <v>4062521.34</v>
      </c>
      <c r="BF137" s="14">
        <v>0.04512612604054016</v>
      </c>
      <c r="BG137" s="10">
        <v>338</v>
      </c>
      <c r="BH137" s="14">
        <v>0.07317601212383633</v>
      </c>
      <c r="BI137" s="56"/>
      <c r="BJ137" s="9">
        <v>3081993.97</v>
      </c>
      <c r="BK137" s="14">
        <v>0.03234264038492952</v>
      </c>
      <c r="BL137" s="10">
        <v>273</v>
      </c>
      <c r="BM137" s="14">
        <v>0.05782673162465579</v>
      </c>
      <c r="BN137" s="56"/>
      <c r="BO137" s="9">
        <v>2484349.59</v>
      </c>
      <c r="BP137" s="14">
        <v>0.027517883118953545</v>
      </c>
      <c r="BQ137" s="10">
        <v>233</v>
      </c>
      <c r="BR137" s="14">
        <v>0.052565180824222034</v>
      </c>
      <c r="BS137" s="56"/>
      <c r="BT137" s="9">
        <v>2121914.59</v>
      </c>
      <c r="BU137" s="14">
        <v>0.02061512780897884</v>
      </c>
      <c r="BV137" s="10">
        <v>201</v>
      </c>
      <c r="BW137" s="14">
        <v>0.04204141393014014</v>
      </c>
      <c r="BX137" s="56"/>
      <c r="BY137" s="9">
        <v>1944211.22</v>
      </c>
      <c r="BZ137" s="14">
        <v>0.018005994798811823</v>
      </c>
      <c r="CA137" s="10">
        <v>182</v>
      </c>
      <c r="CB137" s="14">
        <v>0.03765776950134492</v>
      </c>
      <c r="CC137" s="56"/>
    </row>
    <row r="138" spans="1:81" ht="12.75">
      <c r="A138" s="8"/>
      <c r="B138" s="8"/>
      <c r="C138" s="8"/>
      <c r="D138" s="9"/>
      <c r="E138" s="8"/>
      <c r="F138" s="10"/>
      <c r="G138" s="8"/>
      <c r="H138" s="8"/>
      <c r="I138" s="8"/>
      <c r="J138" s="9"/>
      <c r="K138" s="8"/>
      <c r="L138" s="10"/>
      <c r="N138" s="54"/>
      <c r="O138" s="55"/>
      <c r="P138" s="8"/>
      <c r="Q138" s="9"/>
      <c r="R138" s="8"/>
      <c r="S138" s="10"/>
      <c r="T138" s="34"/>
      <c r="U138" s="54"/>
      <c r="V138" s="9"/>
      <c r="W138" s="8"/>
      <c r="X138" s="10"/>
      <c r="Y138" s="34"/>
      <c r="Z138" s="54"/>
      <c r="AA138" s="9"/>
      <c r="AB138" s="8"/>
      <c r="AC138" s="10"/>
      <c r="AD138" s="34"/>
      <c r="AE138" s="54"/>
      <c r="AF138" s="9"/>
      <c r="AG138" s="8"/>
      <c r="AH138" s="10"/>
      <c r="AI138" s="34"/>
      <c r="AJ138" s="54"/>
      <c r="AK138" s="9"/>
      <c r="AL138" s="8"/>
      <c r="AM138" s="10"/>
      <c r="AN138" s="34"/>
      <c r="AO138" s="54"/>
      <c r="AP138" s="9"/>
      <c r="AQ138" s="8"/>
      <c r="AR138" s="10"/>
      <c r="AS138" s="34"/>
      <c r="AT138" s="54"/>
      <c r="AU138" s="9"/>
      <c r="AV138" s="8"/>
      <c r="AW138" s="10"/>
      <c r="AX138" s="34"/>
      <c r="AY138" s="54"/>
      <c r="AZ138" s="9"/>
      <c r="BA138" s="8"/>
      <c r="BB138" s="10"/>
      <c r="BC138" s="34"/>
      <c r="BD138" s="54"/>
      <c r="BE138" s="9"/>
      <c r="BF138" s="8"/>
      <c r="BG138" s="10"/>
      <c r="BH138" s="34"/>
      <c r="BI138" s="54"/>
      <c r="BJ138" s="9"/>
      <c r="BK138" s="8"/>
      <c r="BL138" s="10"/>
      <c r="BM138" s="34"/>
      <c r="BN138" s="54"/>
      <c r="BO138" s="9"/>
      <c r="BP138" s="8"/>
      <c r="BQ138" s="10"/>
      <c r="BR138" s="34"/>
      <c r="BS138" s="54"/>
      <c r="BT138" s="9"/>
      <c r="BU138" s="8"/>
      <c r="BV138" s="10"/>
      <c r="BW138" s="34"/>
      <c r="BX138" s="54"/>
      <c r="BY138" s="9"/>
      <c r="BZ138" s="8"/>
      <c r="CA138" s="10"/>
      <c r="CB138" s="34"/>
      <c r="CC138" s="54"/>
    </row>
    <row r="139" spans="1:81" ht="13.5" thickBot="1">
      <c r="A139" s="8"/>
      <c r="B139" s="8"/>
      <c r="C139" s="8"/>
      <c r="D139" s="21">
        <f>SUM(D136:D138)</f>
        <v>25729692.340000007</v>
      </c>
      <c r="E139" s="12"/>
      <c r="F139" s="22">
        <f>SUM(F136:F137)</f>
        <v>1858</v>
      </c>
      <c r="G139" s="8"/>
      <c r="H139" s="8"/>
      <c r="I139" s="8"/>
      <c r="J139" s="77">
        <f>SUM(J136:J138)</f>
        <v>24456072.849999964</v>
      </c>
      <c r="K139" s="12"/>
      <c r="L139" s="22">
        <f>SUM(L136:L137)</f>
        <v>1789</v>
      </c>
      <c r="M139" s="30"/>
      <c r="N139" s="53"/>
      <c r="O139" s="31"/>
      <c r="P139" s="8"/>
      <c r="Q139" s="77">
        <f>SUM(Q136:Q138)</f>
        <v>58998886.35999987</v>
      </c>
      <c r="R139" s="12"/>
      <c r="S139" s="22">
        <f>SUM(S136:S137)</f>
        <v>4195</v>
      </c>
      <c r="T139" s="30"/>
      <c r="U139" s="53"/>
      <c r="V139" s="77">
        <f>SUM(V136:V138)</f>
        <v>63235264.7799997</v>
      </c>
      <c r="W139" s="12"/>
      <c r="X139" s="22">
        <f>SUM(X136:X137)</f>
        <v>4406</v>
      </c>
      <c r="Y139" s="30"/>
      <c r="Z139" s="53"/>
      <c r="AA139" s="77">
        <f>SUM(AA136:AA138)</f>
        <v>64609572.76000007</v>
      </c>
      <c r="AB139" s="12"/>
      <c r="AC139" s="22">
        <f>SUM(AC136:AC137)</f>
        <v>4473</v>
      </c>
      <c r="AD139" s="30"/>
      <c r="AE139" s="53"/>
      <c r="AF139" s="77">
        <f>SUM(AF136:AF138)</f>
        <v>55910307.62000007</v>
      </c>
      <c r="AG139" s="12"/>
      <c r="AH139" s="22">
        <f>SUM(AH136:AH137)</f>
        <v>4011</v>
      </c>
      <c r="AI139" s="30"/>
      <c r="AJ139" s="53"/>
      <c r="AK139" s="77">
        <f>SUM(AK136:AK138)</f>
        <v>46000232.42999996</v>
      </c>
      <c r="AL139" s="12"/>
      <c r="AM139" s="22">
        <f>SUM(AM136:AM137)</f>
        <v>3486</v>
      </c>
      <c r="AN139" s="30"/>
      <c r="AO139" s="53"/>
      <c r="AP139" s="77">
        <f>SUM(AP136:AP138)</f>
        <v>72888001.54999973</v>
      </c>
      <c r="AQ139" s="12"/>
      <c r="AR139" s="22">
        <f>SUM(AR136:AR137)</f>
        <v>4506</v>
      </c>
      <c r="AS139" s="30"/>
      <c r="AT139" s="53"/>
      <c r="AU139" s="77">
        <f>SUM(AU136:AU138)</f>
        <v>66207774.130000144</v>
      </c>
      <c r="AV139" s="12"/>
      <c r="AW139" s="22">
        <f>SUM(AW136:AW137)</f>
        <v>3861</v>
      </c>
      <c r="AX139" s="30"/>
      <c r="AY139" s="53"/>
      <c r="AZ139" s="77">
        <f>SUM(AZ136:AZ138)</f>
        <v>65113250.600000136</v>
      </c>
      <c r="BA139" s="12"/>
      <c r="BB139" s="22">
        <f>SUM(BB136:BB137)</f>
        <v>3694</v>
      </c>
      <c r="BC139" s="30"/>
      <c r="BD139" s="53"/>
      <c r="BE139" s="77">
        <f>SUM(BE136:BE138)</f>
        <v>90025927.25</v>
      </c>
      <c r="BF139" s="12"/>
      <c r="BG139" s="22">
        <f>SUM(BG136:BG137)</f>
        <v>4619</v>
      </c>
      <c r="BH139" s="30"/>
      <c r="BI139" s="53"/>
      <c r="BJ139" s="77">
        <f>SUM(BJ136:BJ138)</f>
        <v>95291971.63000005</v>
      </c>
      <c r="BK139" s="12"/>
      <c r="BL139" s="22">
        <f>SUM(BL136:BL137)</f>
        <v>4721</v>
      </c>
      <c r="BM139" s="30"/>
      <c r="BN139" s="53"/>
      <c r="BO139" s="77">
        <f>SUM(BO136:BO138)</f>
        <v>98891212.97</v>
      </c>
      <c r="BP139" s="12"/>
      <c r="BQ139" s="22">
        <f>SUM(BQ136:BQ137)</f>
        <v>4756</v>
      </c>
      <c r="BR139" s="30"/>
      <c r="BS139" s="53"/>
      <c r="BT139" s="77">
        <f>SUM(BT136:BT138)</f>
        <v>102929975.0000002</v>
      </c>
      <c r="BU139" s="12"/>
      <c r="BV139" s="22">
        <f>SUM(BV136:BV137)</f>
        <v>4781</v>
      </c>
      <c r="BW139" s="30"/>
      <c r="BX139" s="53"/>
      <c r="BY139" s="77">
        <f>SUM(BY136:BY138)</f>
        <v>107975773.71999995</v>
      </c>
      <c r="BZ139" s="12"/>
      <c r="CA139" s="22">
        <f>SUM(CA136:CA137)</f>
        <v>4833</v>
      </c>
      <c r="CB139" s="30"/>
      <c r="CC139" s="53"/>
    </row>
    <row r="140" spans="1:81" ht="13.5" thickTop="1">
      <c r="A140" s="8"/>
      <c r="B140" s="8"/>
      <c r="C140" s="8"/>
      <c r="D140" s="30"/>
      <c r="E140" s="12"/>
      <c r="F140" s="31"/>
      <c r="G140" s="8"/>
      <c r="H140" s="8"/>
      <c r="I140" s="8"/>
      <c r="J140" s="8"/>
      <c r="K140" s="8"/>
      <c r="L140" s="8"/>
      <c r="M140" s="30"/>
      <c r="N140" s="12"/>
      <c r="O140" s="31"/>
      <c r="P140" s="8"/>
      <c r="Q140" s="8"/>
      <c r="R140" s="8"/>
      <c r="S140" s="8"/>
      <c r="T140" s="30"/>
      <c r="U140" s="12"/>
      <c r="V140" s="8"/>
      <c r="W140" s="8"/>
      <c r="X140" s="8"/>
      <c r="Y140" s="30"/>
      <c r="Z140" s="12"/>
      <c r="AA140" s="8"/>
      <c r="AB140" s="8"/>
      <c r="AC140" s="8"/>
      <c r="AD140" s="30"/>
      <c r="AE140" s="12"/>
      <c r="AF140" s="8"/>
      <c r="AG140" s="8"/>
      <c r="AH140" s="8"/>
      <c r="AI140" s="30"/>
      <c r="AJ140" s="12"/>
      <c r="AK140" s="8"/>
      <c r="AL140" s="8"/>
      <c r="AM140" s="8"/>
      <c r="AN140" s="30"/>
      <c r="AO140" s="12"/>
      <c r="AP140" s="8"/>
      <c r="AQ140" s="8"/>
      <c r="AR140" s="8"/>
      <c r="AS140" s="30"/>
      <c r="AT140" s="12"/>
      <c r="AU140" s="8"/>
      <c r="AV140" s="8"/>
      <c r="AW140" s="8"/>
      <c r="AX140" s="30"/>
      <c r="AY140" s="12"/>
      <c r="AZ140" s="8"/>
      <c r="BA140" s="8"/>
      <c r="BB140" s="8"/>
      <c r="BC140" s="30"/>
      <c r="BD140" s="12"/>
      <c r="BE140" s="8"/>
      <c r="BF140" s="8"/>
      <c r="BG140" s="8"/>
      <c r="BH140" s="30"/>
      <c r="BI140" s="12"/>
      <c r="BJ140" s="8"/>
      <c r="BK140" s="8"/>
      <c r="BL140" s="8"/>
      <c r="BM140" s="30"/>
      <c r="BN140" s="12"/>
      <c r="BO140" s="8"/>
      <c r="BP140" s="8"/>
      <c r="BQ140" s="8"/>
      <c r="BR140" s="30"/>
      <c r="BS140" s="12"/>
      <c r="BT140" s="8"/>
      <c r="BU140" s="8"/>
      <c r="BV140" s="8"/>
      <c r="BW140" s="30"/>
      <c r="BX140" s="12"/>
      <c r="BY140" s="8"/>
      <c r="BZ140" s="8"/>
      <c r="CA140" s="8"/>
      <c r="CB140" s="30"/>
      <c r="CC140" s="12"/>
    </row>
    <row r="141" spans="1:81" ht="12.75">
      <c r="A141" s="8"/>
      <c r="B141" s="8"/>
      <c r="C141" s="8"/>
      <c r="D141" s="9"/>
      <c r="E141" s="8"/>
      <c r="F141" s="10"/>
      <c r="G141" s="8"/>
      <c r="H141" s="8"/>
      <c r="I141" s="8"/>
      <c r="J141" s="8"/>
      <c r="K141" s="8"/>
      <c r="L141" s="8"/>
      <c r="M141" s="30"/>
      <c r="N141" s="12"/>
      <c r="O141" s="31"/>
      <c r="P141" s="8"/>
      <c r="Q141" s="8"/>
      <c r="R141" s="8"/>
      <c r="S141" s="8"/>
      <c r="T141" s="30"/>
      <c r="U141" s="12"/>
      <c r="V141" s="8"/>
      <c r="W141" s="8"/>
      <c r="X141" s="8"/>
      <c r="Y141" s="30"/>
      <c r="Z141" s="12"/>
      <c r="AA141" s="8"/>
      <c r="AB141" s="8"/>
      <c r="AC141" s="8"/>
      <c r="AD141" s="30"/>
      <c r="AE141" s="12"/>
      <c r="AF141" s="8"/>
      <c r="AG141" s="8"/>
      <c r="AH141" s="8"/>
      <c r="AI141" s="30"/>
      <c r="AJ141" s="12"/>
      <c r="AK141" s="8"/>
      <c r="AL141" s="8"/>
      <c r="AM141" s="8"/>
      <c r="AN141" s="30"/>
      <c r="AO141" s="12"/>
      <c r="AP141" s="8"/>
      <c r="AQ141" s="8"/>
      <c r="AR141" s="8"/>
      <c r="AS141" s="30"/>
      <c r="AT141" s="12"/>
      <c r="AU141" s="8"/>
      <c r="AV141" s="8"/>
      <c r="AW141" s="8"/>
      <c r="AX141" s="30"/>
      <c r="AY141" s="12"/>
      <c r="AZ141" s="8"/>
      <c r="BA141" s="8"/>
      <c r="BB141" s="8"/>
      <c r="BC141" s="30"/>
      <c r="BD141" s="12"/>
      <c r="BE141" s="8"/>
      <c r="BF141" s="8"/>
      <c r="BG141" s="8"/>
      <c r="BH141" s="30"/>
      <c r="BI141" s="12"/>
      <c r="BJ141" s="8"/>
      <c r="BK141" s="8"/>
      <c r="BL141" s="8"/>
      <c r="BM141" s="30"/>
      <c r="BN141" s="12"/>
      <c r="BO141" s="32"/>
      <c r="BP141" s="95"/>
      <c r="BQ141" s="8"/>
      <c r="BR141" s="30"/>
      <c r="BS141" s="12"/>
      <c r="BT141" s="32"/>
      <c r="BU141" s="95"/>
      <c r="BV141" s="8"/>
      <c r="BW141" s="30"/>
      <c r="BX141" s="12"/>
      <c r="BY141" s="32"/>
      <c r="BZ141" s="95"/>
      <c r="CA141" s="8"/>
      <c r="CB141" s="30"/>
      <c r="CC141" s="12"/>
    </row>
    <row r="142" spans="1:15" ht="12.75">
      <c r="A142" s="1"/>
      <c r="M142" s="35"/>
      <c r="O142" s="3"/>
    </row>
    <row r="143" spans="10:16" ht="12.75">
      <c r="J143" s="59"/>
      <c r="K143" s="49"/>
      <c r="L143" s="49"/>
      <c r="M143" s="66"/>
      <c r="N143" s="49"/>
      <c r="O143" s="51"/>
      <c r="P143" s="49"/>
    </row>
    <row r="144" spans="1:16" ht="12.75">
      <c r="A144" s="1"/>
      <c r="E144" s="2"/>
      <c r="G144" s="2"/>
      <c r="J144" s="59"/>
      <c r="K144" s="49"/>
      <c r="L144" s="49"/>
      <c r="M144" s="66"/>
      <c r="N144" s="49"/>
      <c r="O144" s="51"/>
      <c r="P144" s="49"/>
    </row>
    <row r="145" spans="10:16" ht="12.75">
      <c r="J145" s="49"/>
      <c r="K145" s="60"/>
      <c r="L145" s="60"/>
      <c r="M145" s="67"/>
      <c r="N145" s="60"/>
      <c r="O145" s="48"/>
      <c r="P145" s="60"/>
    </row>
    <row r="146" spans="1:17" s="1" customFormat="1" ht="12.75">
      <c r="A146"/>
      <c r="D146" s="5"/>
      <c r="E146" s="6"/>
      <c r="F146" s="4"/>
      <c r="G146" s="6"/>
      <c r="J146" s="60"/>
      <c r="K146" s="49"/>
      <c r="L146" s="49"/>
      <c r="M146" s="66"/>
      <c r="N146" s="49"/>
      <c r="O146" s="51"/>
      <c r="P146" s="49"/>
      <c r="Q146"/>
    </row>
    <row r="147" spans="1:16" ht="12.75">
      <c r="A147" s="1"/>
      <c r="J147" s="49"/>
      <c r="K147" s="49"/>
      <c r="L147" s="49"/>
      <c r="M147" s="66"/>
      <c r="N147" s="61"/>
      <c r="O147" s="51"/>
      <c r="P147" s="61"/>
    </row>
    <row r="148" spans="10:16" ht="12.75">
      <c r="J148" s="49"/>
      <c r="K148" s="49"/>
      <c r="L148" s="49"/>
      <c r="M148" s="66"/>
      <c r="N148" s="61"/>
      <c r="O148" s="51"/>
      <c r="P148" s="61"/>
    </row>
    <row r="149" spans="10:16" ht="12.75">
      <c r="J149" s="49"/>
      <c r="K149" s="49"/>
      <c r="L149" s="49"/>
      <c r="M149" s="66"/>
      <c r="N149" s="61"/>
      <c r="O149" s="51"/>
      <c r="P149" s="61"/>
    </row>
    <row r="150" spans="10:16" ht="12.75">
      <c r="J150" s="49"/>
      <c r="K150" s="49"/>
      <c r="L150" s="49"/>
      <c r="M150" s="66"/>
      <c r="N150" s="61"/>
      <c r="O150" s="51"/>
      <c r="P150" s="61"/>
    </row>
    <row r="151" spans="10:16" ht="12.75">
      <c r="J151" s="49"/>
      <c r="K151" s="49"/>
      <c r="L151" s="49"/>
      <c r="M151" s="66"/>
      <c r="N151" s="61"/>
      <c r="O151" s="51"/>
      <c r="P151" s="61"/>
    </row>
    <row r="152" spans="10:16" ht="12.75">
      <c r="J152" s="49"/>
      <c r="K152" s="49"/>
      <c r="L152" s="49"/>
      <c r="M152" s="66"/>
      <c r="N152" s="61"/>
      <c r="O152" s="51"/>
      <c r="P152" s="61"/>
    </row>
    <row r="153" spans="10:16" ht="12.75">
      <c r="J153" s="49"/>
      <c r="K153" s="49"/>
      <c r="L153" s="49"/>
      <c r="M153" s="66"/>
      <c r="N153" s="61"/>
      <c r="O153" s="51"/>
      <c r="P153" s="61"/>
    </row>
    <row r="154" spans="10:16" ht="12.75">
      <c r="J154" s="49"/>
      <c r="K154" s="49"/>
      <c r="L154" s="49"/>
      <c r="M154" s="66"/>
      <c r="N154" s="61"/>
      <c r="O154" s="51"/>
      <c r="P154" s="61"/>
    </row>
    <row r="155" spans="10:16" ht="12.75">
      <c r="J155" s="49"/>
      <c r="K155" s="49"/>
      <c r="L155" s="49"/>
      <c r="M155" s="66"/>
      <c r="N155" s="61"/>
      <c r="O155" s="51"/>
      <c r="P155" s="61"/>
    </row>
    <row r="156" spans="10:16" ht="12.75">
      <c r="J156" s="49"/>
      <c r="K156" s="49"/>
      <c r="L156" s="49"/>
      <c r="M156" s="66"/>
      <c r="N156" s="49"/>
      <c r="O156" s="51"/>
      <c r="P156" s="49"/>
    </row>
    <row r="157" spans="10:17" ht="12.75">
      <c r="J157" s="49"/>
      <c r="K157" s="60"/>
      <c r="L157" s="60"/>
      <c r="M157" s="67"/>
      <c r="N157" s="60"/>
      <c r="O157" s="48"/>
      <c r="P157" s="62"/>
      <c r="Q157" s="1"/>
    </row>
  </sheetData>
  <mergeCells count="30">
    <mergeCell ref="AF1:AJ1"/>
    <mergeCell ref="AF3:AJ3"/>
    <mergeCell ref="AA1:AE1"/>
    <mergeCell ref="AA3:AE3"/>
    <mergeCell ref="Q1:U1"/>
    <mergeCell ref="Q3:U3"/>
    <mergeCell ref="V1:Z1"/>
    <mergeCell ref="V3:Z3"/>
    <mergeCell ref="A1:G1"/>
    <mergeCell ref="A3:G3"/>
    <mergeCell ref="J1:P1"/>
    <mergeCell ref="J3:P3"/>
    <mergeCell ref="AK1:AO1"/>
    <mergeCell ref="AK3:AO3"/>
    <mergeCell ref="AZ1:BD1"/>
    <mergeCell ref="AZ3:BD3"/>
    <mergeCell ref="AP1:AT1"/>
    <mergeCell ref="AP3:AT3"/>
    <mergeCell ref="AU1:AY1"/>
    <mergeCell ref="AU3:AY3"/>
    <mergeCell ref="BJ1:BN1"/>
    <mergeCell ref="BJ3:BN3"/>
    <mergeCell ref="BE1:BI1"/>
    <mergeCell ref="BE3:BI3"/>
    <mergeCell ref="BY1:CC1"/>
    <mergeCell ref="BY3:CC3"/>
    <mergeCell ref="BO1:BS1"/>
    <mergeCell ref="BO3:BS3"/>
    <mergeCell ref="BT1:BX1"/>
    <mergeCell ref="BT3:BX3"/>
  </mergeCells>
  <printOptions horizontalCentered="1"/>
  <pageMargins left="0.15748031496062992" right="0.15748031496062992" top="0" bottom="0" header="0.5118110236220472" footer="0.5118110236220472"/>
  <pageSetup horizontalDpi="600" verticalDpi="600" orientation="landscape" paperSize="9" scale="17" r:id="rId1"/>
  <colBreaks count="2" manualBreakCount="2">
    <brk id="26" max="140" man="1"/>
    <brk id="41" max="1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166"/>
  <sheetViews>
    <sheetView view="pageBreakPreview" zoomScale="60" workbookViewId="0" topLeftCell="CS1">
      <selection activeCell="CW1" sqref="CW1:DC1"/>
    </sheetView>
  </sheetViews>
  <sheetFormatPr defaultColWidth="9.140625" defaultRowHeight="12.75"/>
  <cols>
    <col min="3" max="3" width="16.28125" style="0" customWidth="1"/>
    <col min="4" max="4" width="30.57421875" style="0" customWidth="1"/>
    <col min="5" max="5" width="11.57421875" style="0" customWidth="1"/>
    <col min="6" max="6" width="16.7109375" style="3" customWidth="1"/>
    <col min="7" max="7" width="17.57421875" style="0" customWidth="1"/>
    <col min="10" max="10" width="28.8515625" style="0" customWidth="1"/>
    <col min="11" max="11" width="13.421875" style="0" customWidth="1"/>
    <col min="12" max="12" width="16.00390625" style="0" customWidth="1"/>
    <col min="13" max="13" width="13.00390625" style="0" customWidth="1"/>
    <col min="14" max="14" width="21.140625" style="0" customWidth="1"/>
    <col min="15" max="15" width="12.00390625" style="0" bestFit="1" customWidth="1"/>
    <col min="16" max="16" width="18.140625" style="0" customWidth="1"/>
    <col min="17" max="17" width="24.421875" style="0" customWidth="1"/>
    <col min="18" max="18" width="14.140625" style="0" customWidth="1"/>
    <col min="19" max="19" width="16.00390625" style="0" customWidth="1"/>
    <col min="20" max="20" width="17.7109375" style="0" bestFit="1" customWidth="1"/>
    <col min="21" max="21" width="12.421875" style="0" customWidth="1"/>
    <col min="22" max="22" width="30.8515625" style="0" customWidth="1"/>
    <col min="23" max="23" width="11.00390625" style="0" customWidth="1"/>
    <col min="24" max="24" width="27.28125" style="0" customWidth="1"/>
    <col min="25" max="25" width="16.57421875" style="0" customWidth="1"/>
    <col min="26" max="26" width="13.140625" style="0" customWidth="1"/>
    <col min="27" max="27" width="15.28125" style="0" customWidth="1"/>
    <col min="28" max="28" width="14.421875" style="0" customWidth="1"/>
    <col min="29" max="29" width="15.28125" style="0" customWidth="1"/>
    <col min="30" max="30" width="12.28125" style="0" customWidth="1"/>
    <col min="31" max="31" width="25.28125" style="0" customWidth="1"/>
    <col min="32" max="32" width="18.421875" style="0" customWidth="1"/>
    <col min="33" max="33" width="16.28125" style="0" customWidth="1"/>
    <col min="34" max="34" width="15.140625" style="0" customWidth="1"/>
    <col min="35" max="35" width="13.00390625" style="0" customWidth="1"/>
    <col min="36" max="36" width="15.140625" style="0" customWidth="1"/>
    <col min="38" max="38" width="25.140625" style="0" customWidth="1"/>
    <col min="39" max="39" width="17.00390625" style="0" customWidth="1"/>
    <col min="40" max="40" width="15.28125" style="0" customWidth="1"/>
    <col min="41" max="41" width="16.7109375" style="0" customWidth="1"/>
    <col min="42" max="42" width="17.140625" style="0" customWidth="1"/>
    <col min="43" max="43" width="14.57421875" style="0" customWidth="1"/>
    <col min="45" max="45" width="26.7109375" style="0" customWidth="1"/>
    <col min="46" max="46" width="16.00390625" style="0" customWidth="1"/>
    <col min="47" max="47" width="14.140625" style="0" bestFit="1" customWidth="1"/>
    <col min="48" max="48" width="13.421875" style="0" bestFit="1" customWidth="1"/>
    <col min="49" max="49" width="16.28125" style="0" customWidth="1"/>
    <col min="50" max="50" width="15.140625" style="0" customWidth="1"/>
    <col min="51" max="51" width="12.28125" style="0" customWidth="1"/>
    <col min="52" max="52" width="33.421875" style="0" customWidth="1"/>
    <col min="53" max="53" width="16.00390625" style="0" customWidth="1"/>
    <col min="54" max="54" width="19.8515625" style="0" customWidth="1"/>
    <col min="55" max="55" width="19.140625" style="0" customWidth="1"/>
    <col min="59" max="59" width="37.7109375" style="0" customWidth="1"/>
    <col min="60" max="60" width="14.8515625" style="0" customWidth="1"/>
    <col min="61" max="61" width="14.140625" style="0" bestFit="1" customWidth="1"/>
    <col min="62" max="62" width="13.421875" style="0" bestFit="1" customWidth="1"/>
    <col min="63" max="63" width="12.28125" style="0" customWidth="1"/>
    <col min="64" max="64" width="12.421875" style="0" customWidth="1"/>
    <col min="66" max="66" width="29.57421875" style="0" customWidth="1"/>
    <col min="67" max="67" width="19.28125" style="0" customWidth="1"/>
    <col min="68" max="68" width="16.28125" style="0" customWidth="1"/>
    <col min="69" max="69" width="16.7109375" style="0" customWidth="1"/>
    <col min="71" max="71" width="13.00390625" style="0" customWidth="1"/>
    <col min="73" max="73" width="33.8515625" style="0" customWidth="1"/>
    <col min="74" max="74" width="19.00390625" style="0" customWidth="1"/>
    <col min="75" max="75" width="16.7109375" style="0" customWidth="1"/>
    <col min="76" max="76" width="19.28125" style="0" customWidth="1"/>
    <col min="80" max="80" width="37.28125" style="0" customWidth="1"/>
    <col min="81" max="81" width="16.57421875" style="0" customWidth="1"/>
    <col min="82" max="82" width="17.421875" style="0" customWidth="1"/>
    <col min="83" max="83" width="16.57421875" style="0" customWidth="1"/>
    <col min="87" max="87" width="26.57421875" style="0" customWidth="1"/>
    <col min="88" max="88" width="27.57421875" style="0" customWidth="1"/>
    <col min="89" max="89" width="17.00390625" style="0" customWidth="1"/>
    <col min="90" max="90" width="17.421875" style="0" customWidth="1"/>
    <col min="91" max="91" width="13.8515625" style="0" customWidth="1"/>
    <col min="94" max="94" width="31.7109375" style="0" customWidth="1"/>
    <col min="95" max="95" width="16.57421875" style="0" customWidth="1"/>
    <col min="96" max="96" width="14.8515625" style="0" customWidth="1"/>
    <col min="97" max="97" width="17.00390625" style="0" customWidth="1"/>
    <col min="98" max="98" width="16.00390625" style="0" customWidth="1"/>
    <col min="101" max="101" width="31.7109375" style="0" customWidth="1"/>
    <col min="102" max="102" width="21.28125" style="0" customWidth="1"/>
    <col min="103" max="104" width="19.8515625" style="0" customWidth="1"/>
  </cols>
  <sheetData>
    <row r="1" spans="1:107" ht="33.75">
      <c r="A1" s="101" t="s">
        <v>113</v>
      </c>
      <c r="B1" s="101"/>
      <c r="C1" s="101"/>
      <c r="D1" s="101"/>
      <c r="E1" s="101"/>
      <c r="F1" s="101"/>
      <c r="G1" s="101"/>
      <c r="H1" s="8"/>
      <c r="I1" s="8"/>
      <c r="J1" s="101" t="s">
        <v>113</v>
      </c>
      <c r="K1" s="101"/>
      <c r="L1" s="101"/>
      <c r="M1" s="101"/>
      <c r="N1" s="101"/>
      <c r="O1" s="101"/>
      <c r="P1" s="101"/>
      <c r="Q1" s="101" t="s">
        <v>113</v>
      </c>
      <c r="R1" s="101"/>
      <c r="S1" s="101"/>
      <c r="T1" s="101"/>
      <c r="U1" s="101"/>
      <c r="V1" s="101"/>
      <c r="W1" s="101"/>
      <c r="X1" s="101" t="s">
        <v>113</v>
      </c>
      <c r="Y1" s="101"/>
      <c r="Z1" s="101"/>
      <c r="AA1" s="101"/>
      <c r="AB1" s="101"/>
      <c r="AC1" s="101"/>
      <c r="AD1" s="101"/>
      <c r="AE1" s="101" t="s">
        <v>113</v>
      </c>
      <c r="AF1" s="101"/>
      <c r="AG1" s="101"/>
      <c r="AH1" s="101"/>
      <c r="AI1" s="101"/>
      <c r="AJ1" s="101"/>
      <c r="AK1" s="101"/>
      <c r="AL1" s="101" t="s">
        <v>113</v>
      </c>
      <c r="AM1" s="101"/>
      <c r="AN1" s="101"/>
      <c r="AO1" s="101"/>
      <c r="AP1" s="101"/>
      <c r="AQ1" s="101"/>
      <c r="AR1" s="101"/>
      <c r="AS1" s="101" t="s">
        <v>113</v>
      </c>
      <c r="AT1" s="101"/>
      <c r="AU1" s="101"/>
      <c r="AV1" s="101"/>
      <c r="AW1" s="101"/>
      <c r="AX1" s="101"/>
      <c r="AY1" s="101"/>
      <c r="AZ1" s="101" t="s">
        <v>113</v>
      </c>
      <c r="BA1" s="101"/>
      <c r="BB1" s="101"/>
      <c r="BC1" s="101"/>
      <c r="BD1" s="101"/>
      <c r="BE1" s="101"/>
      <c r="BF1" s="101"/>
      <c r="BG1" s="101" t="s">
        <v>113</v>
      </c>
      <c r="BH1" s="101"/>
      <c r="BI1" s="101"/>
      <c r="BJ1" s="101"/>
      <c r="BK1" s="101"/>
      <c r="BL1" s="101"/>
      <c r="BM1" s="101"/>
      <c r="BN1" s="101" t="s">
        <v>113</v>
      </c>
      <c r="BO1" s="101"/>
      <c r="BP1" s="101"/>
      <c r="BQ1" s="101"/>
      <c r="BR1" s="101"/>
      <c r="BS1" s="101"/>
      <c r="BT1" s="101"/>
      <c r="BU1" s="101" t="s">
        <v>113</v>
      </c>
      <c r="BV1" s="101"/>
      <c r="BW1" s="101"/>
      <c r="BX1" s="101"/>
      <c r="BY1" s="101"/>
      <c r="BZ1" s="101"/>
      <c r="CA1" s="101"/>
      <c r="CB1" s="101" t="s">
        <v>113</v>
      </c>
      <c r="CC1" s="101"/>
      <c r="CD1" s="101"/>
      <c r="CE1" s="101"/>
      <c r="CF1" s="101"/>
      <c r="CG1" s="101"/>
      <c r="CH1" s="101"/>
      <c r="CI1" s="101" t="s">
        <v>113</v>
      </c>
      <c r="CJ1" s="101"/>
      <c r="CK1" s="101"/>
      <c r="CL1" s="101"/>
      <c r="CM1" s="101"/>
      <c r="CN1" s="101"/>
      <c r="CO1" s="101"/>
      <c r="CP1" s="101" t="s">
        <v>113</v>
      </c>
      <c r="CQ1" s="101"/>
      <c r="CR1" s="101"/>
      <c r="CS1" s="101"/>
      <c r="CT1" s="101"/>
      <c r="CU1" s="101"/>
      <c r="CV1" s="101"/>
      <c r="CW1" s="101" t="s">
        <v>113</v>
      </c>
      <c r="CX1" s="101"/>
      <c r="CY1" s="101"/>
      <c r="CZ1" s="101"/>
      <c r="DA1" s="101"/>
      <c r="DB1" s="101"/>
      <c r="DC1" s="101"/>
    </row>
    <row r="2" spans="1:107" ht="12.75">
      <c r="A2" s="8"/>
      <c r="B2" s="8"/>
      <c r="C2" s="8"/>
      <c r="D2" s="8"/>
      <c r="E2" s="8"/>
      <c r="F2" s="10"/>
      <c r="G2" s="8"/>
      <c r="H2" s="8"/>
      <c r="I2" s="8"/>
      <c r="J2" s="8"/>
      <c r="K2" s="8"/>
      <c r="L2" s="8"/>
      <c r="M2" s="8"/>
      <c r="N2" s="8"/>
      <c r="O2" s="10"/>
      <c r="P2" s="8"/>
      <c r="Q2" s="8"/>
      <c r="R2" s="8"/>
      <c r="S2" s="8"/>
      <c r="T2" s="8"/>
      <c r="U2" s="8"/>
      <c r="V2" s="10"/>
      <c r="W2" s="8"/>
      <c r="X2" s="8"/>
      <c r="Y2" s="8"/>
      <c r="Z2" s="8"/>
      <c r="AA2" s="8"/>
      <c r="AB2" s="8"/>
      <c r="AC2" s="10"/>
      <c r="AD2" s="8"/>
      <c r="AE2" s="8"/>
      <c r="AF2" s="8"/>
      <c r="AG2" s="8"/>
      <c r="AH2" s="8"/>
      <c r="AI2" s="8"/>
      <c r="AJ2" s="10"/>
      <c r="AK2" s="8"/>
      <c r="AL2" s="8"/>
      <c r="AM2" s="8"/>
      <c r="AN2" s="8"/>
      <c r="AO2" s="8"/>
      <c r="AP2" s="8"/>
      <c r="AQ2" s="10"/>
      <c r="AR2" s="8"/>
      <c r="AS2" s="8"/>
      <c r="AT2" s="8"/>
      <c r="AU2" s="8"/>
      <c r="AV2" s="8"/>
      <c r="AW2" s="8"/>
      <c r="AX2" s="10"/>
      <c r="AY2" s="8"/>
      <c r="AZ2" s="8"/>
      <c r="BA2" s="8"/>
      <c r="BB2" s="8"/>
      <c r="BC2" s="8"/>
      <c r="BD2" s="8"/>
      <c r="BE2" s="10"/>
      <c r="BF2" s="8"/>
      <c r="BG2" s="8"/>
      <c r="BH2" s="8"/>
      <c r="BI2" s="8"/>
      <c r="BJ2" s="8"/>
      <c r="BK2" s="8"/>
      <c r="BL2" s="10"/>
      <c r="BM2" s="8"/>
      <c r="BN2" s="8"/>
      <c r="BO2" s="8"/>
      <c r="BP2" s="8"/>
      <c r="BQ2" s="8"/>
      <c r="BR2" s="8"/>
      <c r="BS2" s="10"/>
      <c r="BT2" s="8"/>
      <c r="BU2" s="8"/>
      <c r="BV2" s="8"/>
      <c r="BW2" s="8"/>
      <c r="BX2" s="8"/>
      <c r="BY2" s="8"/>
      <c r="BZ2" s="10"/>
      <c r="CA2" s="8"/>
      <c r="CB2" s="8"/>
      <c r="CC2" s="8"/>
      <c r="CD2" s="8"/>
      <c r="CE2" s="8"/>
      <c r="CF2" s="8"/>
      <c r="CG2" s="10"/>
      <c r="CH2" s="8"/>
      <c r="CI2" s="8"/>
      <c r="CJ2" s="8"/>
      <c r="CK2" s="8"/>
      <c r="CL2" s="8"/>
      <c r="CM2" s="8"/>
      <c r="CN2" s="10"/>
      <c r="CO2" s="8"/>
      <c r="CP2" s="8"/>
      <c r="CQ2" s="8"/>
      <c r="CR2" s="8"/>
      <c r="CS2" s="8"/>
      <c r="CT2" s="8"/>
      <c r="CU2" s="10"/>
      <c r="CV2" s="8"/>
      <c r="CW2" s="8"/>
      <c r="CX2" s="8"/>
      <c r="CY2" s="8"/>
      <c r="CZ2" s="8"/>
      <c r="DA2" s="8"/>
      <c r="DB2" s="10"/>
      <c r="DC2" s="8"/>
    </row>
    <row r="3" spans="1:107" ht="18">
      <c r="A3" s="102" t="s">
        <v>98</v>
      </c>
      <c r="B3" s="102"/>
      <c r="C3" s="102"/>
      <c r="D3" s="102"/>
      <c r="E3" s="102"/>
      <c r="F3" s="102"/>
      <c r="G3" s="102"/>
      <c r="H3" s="8"/>
      <c r="I3" s="8"/>
      <c r="J3" s="102" t="s">
        <v>142</v>
      </c>
      <c r="K3" s="102"/>
      <c r="L3" s="102"/>
      <c r="M3" s="102"/>
      <c r="N3" s="102"/>
      <c r="O3" s="102"/>
      <c r="P3" s="102"/>
      <c r="Q3" s="102" t="s">
        <v>145</v>
      </c>
      <c r="R3" s="102"/>
      <c r="S3" s="102"/>
      <c r="T3" s="102"/>
      <c r="U3" s="102"/>
      <c r="V3" s="102"/>
      <c r="W3" s="102"/>
      <c r="X3" s="102" t="s">
        <v>146</v>
      </c>
      <c r="Y3" s="102"/>
      <c r="Z3" s="102"/>
      <c r="AA3" s="102"/>
      <c r="AB3" s="102"/>
      <c r="AC3" s="102"/>
      <c r="AD3" s="102"/>
      <c r="AE3" s="102" t="s">
        <v>148</v>
      </c>
      <c r="AF3" s="102"/>
      <c r="AG3" s="102"/>
      <c r="AH3" s="102"/>
      <c r="AI3" s="102"/>
      <c r="AJ3" s="102"/>
      <c r="AK3" s="102"/>
      <c r="AL3" s="102" t="s">
        <v>150</v>
      </c>
      <c r="AM3" s="102"/>
      <c r="AN3" s="102"/>
      <c r="AO3" s="102"/>
      <c r="AP3" s="102"/>
      <c r="AQ3" s="102"/>
      <c r="AR3" s="102"/>
      <c r="AS3" s="102" t="s">
        <v>153</v>
      </c>
      <c r="AT3" s="102"/>
      <c r="AU3" s="102"/>
      <c r="AV3" s="102"/>
      <c r="AW3" s="102"/>
      <c r="AX3" s="102"/>
      <c r="AY3" s="102"/>
      <c r="AZ3" s="102" t="s">
        <v>156</v>
      </c>
      <c r="BA3" s="102"/>
      <c r="BB3" s="102"/>
      <c r="BC3" s="102"/>
      <c r="BD3" s="102"/>
      <c r="BE3" s="102"/>
      <c r="BF3" s="102"/>
      <c r="BG3" s="102" t="s">
        <v>159</v>
      </c>
      <c r="BH3" s="102"/>
      <c r="BI3" s="102"/>
      <c r="BJ3" s="102"/>
      <c r="BK3" s="102"/>
      <c r="BL3" s="102"/>
      <c r="BM3" s="102"/>
      <c r="BN3" s="102" t="s">
        <v>164</v>
      </c>
      <c r="BO3" s="102"/>
      <c r="BP3" s="102"/>
      <c r="BQ3" s="102"/>
      <c r="BR3" s="102"/>
      <c r="BS3" s="102"/>
      <c r="BT3" s="102"/>
      <c r="BU3" s="102" t="s">
        <v>168</v>
      </c>
      <c r="BV3" s="102"/>
      <c r="BW3" s="102"/>
      <c r="BX3" s="102"/>
      <c r="BY3" s="102"/>
      <c r="BZ3" s="102"/>
      <c r="CA3" s="102"/>
      <c r="CB3" s="102" t="s">
        <v>169</v>
      </c>
      <c r="CC3" s="102"/>
      <c r="CD3" s="102"/>
      <c r="CE3" s="102"/>
      <c r="CF3" s="102"/>
      <c r="CG3" s="102"/>
      <c r="CH3" s="102"/>
      <c r="CI3" s="102" t="s">
        <v>172</v>
      </c>
      <c r="CJ3" s="102"/>
      <c r="CK3" s="102"/>
      <c r="CL3" s="102"/>
      <c r="CM3" s="102"/>
      <c r="CN3" s="102"/>
      <c r="CO3" s="102"/>
      <c r="CP3" s="102" t="s">
        <v>175</v>
      </c>
      <c r="CQ3" s="102"/>
      <c r="CR3" s="102"/>
      <c r="CS3" s="102"/>
      <c r="CT3" s="102"/>
      <c r="CU3" s="102"/>
      <c r="CV3" s="102"/>
      <c r="CW3" s="102" t="s">
        <v>182</v>
      </c>
      <c r="CX3" s="102"/>
      <c r="CY3" s="102"/>
      <c r="CZ3" s="102"/>
      <c r="DA3" s="102"/>
      <c r="DB3" s="102"/>
      <c r="DC3" s="102"/>
    </row>
    <row r="4" spans="1:107" ht="18">
      <c r="A4" s="8"/>
      <c r="B4" s="8"/>
      <c r="C4" s="8"/>
      <c r="D4" s="10"/>
      <c r="E4" s="8"/>
      <c r="F4" s="10"/>
      <c r="G4" s="8"/>
      <c r="H4" s="8"/>
      <c r="I4" s="8"/>
      <c r="J4" s="8"/>
      <c r="K4" s="58" t="s">
        <v>143</v>
      </c>
      <c r="L4" s="8"/>
      <c r="M4" s="9"/>
      <c r="N4" s="8"/>
      <c r="O4" s="10"/>
      <c r="P4" s="8"/>
      <c r="Q4" s="8"/>
      <c r="R4" s="58" t="s">
        <v>144</v>
      </c>
      <c r="S4" s="8"/>
      <c r="T4" s="9"/>
      <c r="U4" s="8"/>
      <c r="V4" s="10"/>
      <c r="W4" s="8"/>
      <c r="X4" s="8"/>
      <c r="Y4" s="58" t="s">
        <v>147</v>
      </c>
      <c r="Z4" s="8"/>
      <c r="AA4" s="9"/>
      <c r="AB4" s="8"/>
      <c r="AC4" s="10"/>
      <c r="AD4" s="8"/>
      <c r="AE4" s="8"/>
      <c r="AF4" s="58" t="s">
        <v>149</v>
      </c>
      <c r="AG4" s="8"/>
      <c r="AH4" s="9"/>
      <c r="AI4" s="8"/>
      <c r="AJ4" s="10"/>
      <c r="AK4" s="8"/>
      <c r="AL4" s="8"/>
      <c r="AM4" s="58" t="s">
        <v>151</v>
      </c>
      <c r="AN4" s="8"/>
      <c r="AO4" s="9"/>
      <c r="AP4" s="8"/>
      <c r="AQ4" s="10"/>
      <c r="AR4" s="8"/>
      <c r="AS4" s="8"/>
      <c r="AT4" s="58" t="s">
        <v>154</v>
      </c>
      <c r="AU4" s="8"/>
      <c r="AV4" s="9"/>
      <c r="AW4" s="8"/>
      <c r="AX4" s="10"/>
      <c r="AY4" s="8"/>
      <c r="AZ4" s="8"/>
      <c r="BA4" s="58" t="s">
        <v>157</v>
      </c>
      <c r="BB4" s="8"/>
      <c r="BC4" s="9"/>
      <c r="BD4" s="8"/>
      <c r="BE4" s="10"/>
      <c r="BF4" s="8"/>
      <c r="BG4" s="8"/>
      <c r="BH4" s="58" t="s">
        <v>160</v>
      </c>
      <c r="BI4" s="8"/>
      <c r="BJ4" s="9"/>
      <c r="BK4" s="8"/>
      <c r="BL4" s="10"/>
      <c r="BM4" s="8"/>
      <c r="BN4" s="8"/>
      <c r="BO4" s="58" t="s">
        <v>163</v>
      </c>
      <c r="BP4" s="8"/>
      <c r="BQ4" s="9"/>
      <c r="BR4" s="8"/>
      <c r="BS4" s="10"/>
      <c r="BT4" s="8"/>
      <c r="BU4" s="8"/>
      <c r="BV4" s="58" t="s">
        <v>167</v>
      </c>
      <c r="BW4" s="8"/>
      <c r="BX4" s="9"/>
      <c r="BY4" s="8"/>
      <c r="BZ4" s="10"/>
      <c r="CA4" s="8"/>
      <c r="CB4" s="8"/>
      <c r="CC4" s="58" t="s">
        <v>170</v>
      </c>
      <c r="CD4" s="8"/>
      <c r="CE4" s="9"/>
      <c r="CF4" s="8"/>
      <c r="CG4" s="10"/>
      <c r="CH4" s="8"/>
      <c r="CI4" s="8"/>
      <c r="CJ4" s="58" t="s">
        <v>173</v>
      </c>
      <c r="CK4" s="8"/>
      <c r="CL4" s="9"/>
      <c r="CM4" s="8"/>
      <c r="CN4" s="10"/>
      <c r="CO4" s="8"/>
      <c r="CP4" s="8"/>
      <c r="CQ4" s="58" t="s">
        <v>176</v>
      </c>
      <c r="CR4" s="8"/>
      <c r="CS4" s="9"/>
      <c r="CT4" s="8"/>
      <c r="CU4" s="10"/>
      <c r="CV4" s="8"/>
      <c r="CW4" s="8"/>
      <c r="CX4" s="58" t="s">
        <v>183</v>
      </c>
      <c r="CY4" s="8"/>
      <c r="CZ4" s="9"/>
      <c r="DA4" s="8"/>
      <c r="DB4" s="10"/>
      <c r="DC4" s="8"/>
    </row>
    <row r="5" spans="1:107" ht="12.75">
      <c r="A5" s="8"/>
      <c r="B5" s="8"/>
      <c r="C5" s="8"/>
      <c r="D5" s="10"/>
      <c r="E5" s="8"/>
      <c r="F5" s="10"/>
      <c r="G5" s="8"/>
      <c r="H5" s="8"/>
      <c r="I5" s="8"/>
      <c r="J5" s="8"/>
      <c r="K5" s="8"/>
      <c r="L5" s="8"/>
      <c r="M5" s="10"/>
      <c r="N5" s="8"/>
      <c r="O5" s="10"/>
      <c r="P5" s="8"/>
      <c r="Q5" s="8"/>
      <c r="R5" s="8"/>
      <c r="S5" s="8"/>
      <c r="T5" s="10"/>
      <c r="U5" s="8"/>
      <c r="V5" s="10"/>
      <c r="W5" s="8"/>
      <c r="X5" s="8"/>
      <c r="Y5" s="8"/>
      <c r="Z5" s="8"/>
      <c r="AA5" s="10"/>
      <c r="AB5" s="8"/>
      <c r="AC5" s="10"/>
      <c r="AD5" s="8"/>
      <c r="AE5" s="8"/>
      <c r="AF5" s="8"/>
      <c r="AG5" s="8"/>
      <c r="AH5" s="10"/>
      <c r="AI5" s="8"/>
      <c r="AJ5" s="10"/>
      <c r="AK5" s="8"/>
      <c r="AL5" s="8"/>
      <c r="AM5" s="8"/>
      <c r="AN5" s="8"/>
      <c r="AO5" s="10"/>
      <c r="AP5" s="8"/>
      <c r="AQ5" s="10"/>
      <c r="AR5" s="8"/>
      <c r="AS5" s="8"/>
      <c r="AT5" s="8"/>
      <c r="AU5" s="8"/>
      <c r="AV5" s="10"/>
      <c r="AW5" s="8"/>
      <c r="AX5" s="10"/>
      <c r="AY5" s="8"/>
      <c r="AZ5" s="8"/>
      <c r="BA5" s="8"/>
      <c r="BB5" s="8"/>
      <c r="BC5" s="10"/>
      <c r="BD5" s="8"/>
      <c r="BE5" s="10"/>
      <c r="BF5" s="8"/>
      <c r="BG5" s="8"/>
      <c r="BH5" s="8"/>
      <c r="BI5" s="8"/>
      <c r="BJ5" s="10"/>
      <c r="BK5" s="8"/>
      <c r="BL5" s="10"/>
      <c r="BM5" s="8"/>
      <c r="BN5" s="8"/>
      <c r="BO5" s="8"/>
      <c r="BP5" s="8"/>
      <c r="BQ5" s="10"/>
      <c r="BR5" s="8"/>
      <c r="BS5" s="10"/>
      <c r="BT5" s="8"/>
      <c r="BU5" s="8"/>
      <c r="BV5" s="8"/>
      <c r="BW5" s="8"/>
      <c r="BX5" s="10"/>
      <c r="BY5" s="8"/>
      <c r="BZ5" s="10"/>
      <c r="CA5" s="8"/>
      <c r="CB5" s="8"/>
      <c r="CC5" s="8"/>
      <c r="CD5" s="8"/>
      <c r="CE5" s="10"/>
      <c r="CF5" s="8"/>
      <c r="CG5" s="10"/>
      <c r="CH5" s="8"/>
      <c r="CI5" s="8"/>
      <c r="CJ5" s="8"/>
      <c r="CK5" s="8"/>
      <c r="CL5" s="10"/>
      <c r="CM5" s="8"/>
      <c r="CN5" s="10"/>
      <c r="CO5" s="8"/>
      <c r="CP5" s="8"/>
      <c r="CQ5" s="8"/>
      <c r="CR5" s="8"/>
      <c r="CS5" s="10"/>
      <c r="CT5" s="8"/>
      <c r="CU5" s="10"/>
      <c r="CV5" s="8"/>
      <c r="CW5" s="8"/>
      <c r="CX5" s="8"/>
      <c r="CY5" s="8"/>
      <c r="CZ5" s="10"/>
      <c r="DA5" s="8"/>
      <c r="DB5" s="10"/>
      <c r="DC5" s="8"/>
    </row>
    <row r="6" spans="1:107" ht="12.75">
      <c r="A6" s="12" t="s">
        <v>114</v>
      </c>
      <c r="B6" s="8"/>
      <c r="C6" s="8"/>
      <c r="D6" s="10"/>
      <c r="E6" s="8"/>
      <c r="F6" s="10"/>
      <c r="G6" s="8"/>
      <c r="H6" s="8"/>
      <c r="I6" s="8"/>
      <c r="J6" s="12" t="s">
        <v>114</v>
      </c>
      <c r="K6" s="8"/>
      <c r="L6" s="8"/>
      <c r="M6" s="10"/>
      <c r="N6" s="8"/>
      <c r="O6" s="10"/>
      <c r="P6" s="8"/>
      <c r="Q6" s="12" t="s">
        <v>114</v>
      </c>
      <c r="R6" s="8"/>
      <c r="S6" s="8"/>
      <c r="T6" s="10"/>
      <c r="U6" s="8"/>
      <c r="V6" s="10"/>
      <c r="W6" s="8"/>
      <c r="X6" s="12" t="s">
        <v>114</v>
      </c>
      <c r="Y6" s="8"/>
      <c r="Z6" s="8"/>
      <c r="AA6" s="10"/>
      <c r="AB6" s="8"/>
      <c r="AC6" s="10"/>
      <c r="AD6" s="8"/>
      <c r="AE6" s="12" t="s">
        <v>114</v>
      </c>
      <c r="AF6" s="8"/>
      <c r="AG6" s="8"/>
      <c r="AH6" s="10"/>
      <c r="AI6" s="8"/>
      <c r="AJ6" s="10"/>
      <c r="AK6" s="8"/>
      <c r="AL6" s="12" t="s">
        <v>114</v>
      </c>
      <c r="AM6" s="8"/>
      <c r="AN6" s="8"/>
      <c r="AO6" s="10"/>
      <c r="AP6" s="8"/>
      <c r="AQ6" s="10"/>
      <c r="AR6" s="8"/>
      <c r="AS6" s="12" t="s">
        <v>114</v>
      </c>
      <c r="AT6" s="8"/>
      <c r="AU6" s="8"/>
      <c r="AV6" s="10"/>
      <c r="AW6" s="8"/>
      <c r="AX6" s="10"/>
      <c r="AY6" s="8"/>
      <c r="AZ6" s="12" t="s">
        <v>114</v>
      </c>
      <c r="BA6" s="8"/>
      <c r="BB6" s="8"/>
      <c r="BC6" s="10"/>
      <c r="BD6" s="8"/>
      <c r="BE6" s="10"/>
      <c r="BF6" s="8"/>
      <c r="BG6" s="12" t="s">
        <v>114</v>
      </c>
      <c r="BH6" s="8"/>
      <c r="BI6" s="8"/>
      <c r="BJ6" s="10"/>
      <c r="BK6" s="8"/>
      <c r="BL6" s="10"/>
      <c r="BM6" s="8"/>
      <c r="BN6" s="12" t="s">
        <v>114</v>
      </c>
      <c r="BO6" s="8"/>
      <c r="BP6" s="8"/>
      <c r="BQ6" s="10"/>
      <c r="BR6" s="8"/>
      <c r="BS6" s="10"/>
      <c r="BT6" s="8"/>
      <c r="BU6" s="12" t="s">
        <v>114</v>
      </c>
      <c r="BV6" s="8"/>
      <c r="BW6" s="8"/>
      <c r="BX6" s="10"/>
      <c r="BY6" s="8"/>
      <c r="BZ6" s="10"/>
      <c r="CA6" s="8"/>
      <c r="CB6" s="12" t="s">
        <v>114</v>
      </c>
      <c r="CC6" s="8"/>
      <c r="CD6" s="8"/>
      <c r="CE6" s="10"/>
      <c r="CF6" s="8"/>
      <c r="CG6" s="10"/>
      <c r="CH6" s="8"/>
      <c r="CI6" s="12" t="s">
        <v>114</v>
      </c>
      <c r="CJ6" s="8"/>
      <c r="CK6" s="8"/>
      <c r="CL6" s="10"/>
      <c r="CM6" s="8"/>
      <c r="CN6" s="10"/>
      <c r="CO6" s="8"/>
      <c r="CP6" s="12" t="s">
        <v>114</v>
      </c>
      <c r="CQ6" s="8"/>
      <c r="CR6" s="8"/>
      <c r="CS6" s="10"/>
      <c r="CT6" s="8"/>
      <c r="CU6" s="10"/>
      <c r="CV6" s="8"/>
      <c r="CW6" s="12" t="s">
        <v>114</v>
      </c>
      <c r="CX6" s="8"/>
      <c r="CY6" s="8"/>
      <c r="CZ6" s="10"/>
      <c r="DA6" s="8"/>
      <c r="DB6" s="10"/>
      <c r="DC6" s="8"/>
    </row>
    <row r="7" spans="1:107" ht="12.75">
      <c r="A7" s="13" t="s">
        <v>12</v>
      </c>
      <c r="B7" s="8"/>
      <c r="C7" s="8"/>
      <c r="D7" s="10"/>
      <c r="E7" s="8"/>
      <c r="F7" s="10"/>
      <c r="G7" s="8"/>
      <c r="H7" s="8"/>
      <c r="I7" s="8"/>
      <c r="J7" s="13" t="s">
        <v>12</v>
      </c>
      <c r="K7" s="8"/>
      <c r="L7" s="8"/>
      <c r="M7" s="10"/>
      <c r="N7" s="8"/>
      <c r="O7" s="10"/>
      <c r="P7" s="8"/>
      <c r="Q7" s="13" t="s">
        <v>12</v>
      </c>
      <c r="R7" s="8"/>
      <c r="S7" s="8"/>
      <c r="T7" s="10"/>
      <c r="U7" s="8"/>
      <c r="V7" s="10"/>
      <c r="W7" s="8"/>
      <c r="X7" s="13" t="s">
        <v>12</v>
      </c>
      <c r="Y7" s="8"/>
      <c r="Z7" s="8"/>
      <c r="AA7" s="10"/>
      <c r="AB7" s="8"/>
      <c r="AC7" s="10"/>
      <c r="AD7" s="8"/>
      <c r="AE7" s="13" t="s">
        <v>12</v>
      </c>
      <c r="AF7" s="8"/>
      <c r="AG7" s="8"/>
      <c r="AH7" s="10"/>
      <c r="AI7" s="8"/>
      <c r="AJ7" s="10"/>
      <c r="AK7" s="8"/>
      <c r="AL7" s="13" t="s">
        <v>12</v>
      </c>
      <c r="AM7" s="8"/>
      <c r="AN7" s="8"/>
      <c r="AO7" s="10"/>
      <c r="AP7" s="8"/>
      <c r="AQ7" s="10"/>
      <c r="AR7" s="8"/>
      <c r="AS7" s="13" t="s">
        <v>12</v>
      </c>
      <c r="AT7" s="8"/>
      <c r="AU7" s="8"/>
      <c r="AV7" s="10"/>
      <c r="AW7" s="8"/>
      <c r="AX7" s="10"/>
      <c r="AY7" s="8"/>
      <c r="AZ7" s="13" t="s">
        <v>12</v>
      </c>
      <c r="BA7" s="8"/>
      <c r="BB7" s="8"/>
      <c r="BC7" s="10"/>
      <c r="BD7" s="8"/>
      <c r="BE7" s="10"/>
      <c r="BF7" s="8"/>
      <c r="BG7" s="13" t="s">
        <v>12</v>
      </c>
      <c r="BH7" s="8"/>
      <c r="BI7" s="8"/>
      <c r="BJ7" s="10"/>
      <c r="BK7" s="8"/>
      <c r="BL7" s="10"/>
      <c r="BM7" s="8"/>
      <c r="BN7" s="13" t="s">
        <v>12</v>
      </c>
      <c r="BO7" s="8"/>
      <c r="BP7" s="8"/>
      <c r="BQ7" s="10"/>
      <c r="BR7" s="8"/>
      <c r="BS7" s="10"/>
      <c r="BT7" s="8"/>
      <c r="BU7" s="13" t="s">
        <v>12</v>
      </c>
      <c r="BV7" s="8"/>
      <c r="BW7" s="8"/>
      <c r="BX7" s="10"/>
      <c r="BY7" s="8"/>
      <c r="BZ7" s="10"/>
      <c r="CA7" s="8"/>
      <c r="CB7" s="13" t="s">
        <v>12</v>
      </c>
      <c r="CC7" s="8"/>
      <c r="CD7" s="8"/>
      <c r="CE7" s="10"/>
      <c r="CF7" s="8"/>
      <c r="CG7" s="10"/>
      <c r="CH7" s="8"/>
      <c r="CI7" s="13" t="s">
        <v>12</v>
      </c>
      <c r="CJ7" s="8"/>
      <c r="CK7" s="8"/>
      <c r="CL7" s="10"/>
      <c r="CM7" s="8"/>
      <c r="CN7" s="10"/>
      <c r="CO7" s="8"/>
      <c r="CP7" s="13" t="s">
        <v>12</v>
      </c>
      <c r="CQ7" s="8"/>
      <c r="CR7" s="8"/>
      <c r="CS7" s="10"/>
      <c r="CT7" s="8"/>
      <c r="CU7" s="10"/>
      <c r="CV7" s="8"/>
      <c r="CW7" s="13" t="s">
        <v>12</v>
      </c>
      <c r="CX7" s="8"/>
      <c r="CY7" s="8"/>
      <c r="CZ7" s="10"/>
      <c r="DA7" s="8"/>
      <c r="DB7" s="10"/>
      <c r="DC7" s="8"/>
    </row>
    <row r="8" spans="1:107" ht="12.75">
      <c r="A8" s="8"/>
      <c r="B8" s="8"/>
      <c r="C8" s="8"/>
      <c r="D8" s="10"/>
      <c r="E8" s="8"/>
      <c r="F8" s="10"/>
      <c r="G8" s="8"/>
      <c r="H8" s="8"/>
      <c r="I8" s="8"/>
      <c r="J8" s="8"/>
      <c r="K8" s="8"/>
      <c r="L8" s="8"/>
      <c r="M8" s="10"/>
      <c r="N8" s="8"/>
      <c r="O8" s="10"/>
      <c r="P8" s="8"/>
      <c r="Q8" s="8"/>
      <c r="R8" s="8"/>
      <c r="S8" s="8"/>
      <c r="T8" s="10"/>
      <c r="U8" s="8"/>
      <c r="V8" s="10"/>
      <c r="W8" s="8"/>
      <c r="X8" s="8"/>
      <c r="Y8" s="8"/>
      <c r="Z8" s="8"/>
      <c r="AA8" s="10"/>
      <c r="AB8" s="8"/>
      <c r="AC8" s="10"/>
      <c r="AD8" s="8"/>
      <c r="AE8" s="8"/>
      <c r="AF8" s="8"/>
      <c r="AG8" s="8"/>
      <c r="AH8" s="10"/>
      <c r="AI8" s="8"/>
      <c r="AJ8" s="10"/>
      <c r="AK8" s="8"/>
      <c r="AL8" s="8"/>
      <c r="AM8" s="8"/>
      <c r="AN8" s="8"/>
      <c r="AO8" s="10"/>
      <c r="AP8" s="8"/>
      <c r="AQ8" s="10"/>
      <c r="AR8" s="8"/>
      <c r="AS8" s="8"/>
      <c r="AT8" s="8"/>
      <c r="AU8" s="8"/>
      <c r="AV8" s="10"/>
      <c r="AW8" s="8"/>
      <c r="AX8" s="10"/>
      <c r="AY8" s="8"/>
      <c r="AZ8" s="8"/>
      <c r="BA8" s="8"/>
      <c r="BB8" s="8"/>
      <c r="BC8" s="10"/>
      <c r="BD8" s="8"/>
      <c r="BE8" s="10"/>
      <c r="BF8" s="8"/>
      <c r="BG8" s="8"/>
      <c r="BH8" s="8"/>
      <c r="BI8" s="8"/>
      <c r="BJ8" s="10"/>
      <c r="BK8" s="8"/>
      <c r="BL8" s="10"/>
      <c r="BM8" s="8"/>
      <c r="BN8" s="8"/>
      <c r="BO8" s="8"/>
      <c r="BP8" s="8"/>
      <c r="BQ8" s="10"/>
      <c r="BR8" s="8"/>
      <c r="BS8" s="10"/>
      <c r="BT8" s="8"/>
      <c r="BU8" s="8"/>
      <c r="BV8" s="8"/>
      <c r="BW8" s="8"/>
      <c r="BX8" s="10"/>
      <c r="BY8" s="8"/>
      <c r="BZ8" s="10"/>
      <c r="CA8" s="8"/>
      <c r="CB8" s="8"/>
      <c r="CC8" s="8"/>
      <c r="CD8" s="8"/>
      <c r="CE8" s="10"/>
      <c r="CF8" s="8"/>
      <c r="CG8" s="10"/>
      <c r="CH8" s="8"/>
      <c r="CI8" s="8"/>
      <c r="CJ8" s="8"/>
      <c r="CK8" s="8"/>
      <c r="CL8" s="10"/>
      <c r="CM8" s="8"/>
      <c r="CN8" s="10"/>
      <c r="CO8" s="8"/>
      <c r="CP8" s="8"/>
      <c r="CQ8" s="8"/>
      <c r="CR8" s="8"/>
      <c r="CS8" s="10"/>
      <c r="CT8" s="8"/>
      <c r="CU8" s="10"/>
      <c r="CV8" s="8"/>
      <c r="CW8" s="8"/>
      <c r="CX8" s="8"/>
      <c r="CY8" s="8"/>
      <c r="CZ8" s="10"/>
      <c r="DA8" s="8"/>
      <c r="DB8" s="10"/>
      <c r="DC8" s="8"/>
    </row>
    <row r="9" spans="1:107" ht="12.75">
      <c r="A9" s="8" t="s">
        <v>13</v>
      </c>
      <c r="B9" s="8"/>
      <c r="C9" s="8"/>
      <c r="D9" s="15">
        <f>+D31/F31</f>
        <v>786.8359343371685</v>
      </c>
      <c r="E9" s="8"/>
      <c r="F9" s="10"/>
      <c r="G9" s="8"/>
      <c r="H9" s="8"/>
      <c r="I9" s="8"/>
      <c r="J9" s="8" t="s">
        <v>13</v>
      </c>
      <c r="K9" s="8"/>
      <c r="L9" s="8"/>
      <c r="M9" s="15">
        <v>697.4125324431495</v>
      </c>
      <c r="N9" s="8"/>
      <c r="O9" s="10"/>
      <c r="P9" s="8"/>
      <c r="Q9" s="8" t="s">
        <v>13</v>
      </c>
      <c r="R9" s="8"/>
      <c r="S9" s="8"/>
      <c r="T9" s="15">
        <v>756.1112317279955</v>
      </c>
      <c r="U9" s="8"/>
      <c r="V9" s="10"/>
      <c r="W9" s="8"/>
      <c r="X9" s="8" t="s">
        <v>13</v>
      </c>
      <c r="Y9" s="8"/>
      <c r="Z9" s="8"/>
      <c r="AA9" s="15">
        <v>772.7096796234953</v>
      </c>
      <c r="AB9" s="8"/>
      <c r="AC9" s="10"/>
      <c r="AD9" s="8"/>
      <c r="AE9" s="8" t="s">
        <v>13</v>
      </c>
      <c r="AF9" s="8"/>
      <c r="AG9" s="8"/>
      <c r="AH9" s="15">
        <v>750.1290413130287</v>
      </c>
      <c r="AI9" s="8"/>
      <c r="AJ9" s="10"/>
      <c r="AK9" s="8"/>
      <c r="AL9" s="8" t="s">
        <v>13</v>
      </c>
      <c r="AM9" s="8"/>
      <c r="AN9" s="8"/>
      <c r="AO9" s="15">
        <v>743.227227577405</v>
      </c>
      <c r="AP9" s="8"/>
      <c r="AQ9" s="10"/>
      <c r="AR9" s="8"/>
      <c r="AS9" s="8" t="s">
        <v>13</v>
      </c>
      <c r="AT9" s="8"/>
      <c r="AU9" s="8"/>
      <c r="AV9" s="15">
        <v>760.1254491913845</v>
      </c>
      <c r="AW9" s="8"/>
      <c r="AX9" s="10"/>
      <c r="AY9" s="8"/>
      <c r="AZ9" s="8" t="s">
        <v>13</v>
      </c>
      <c r="BA9" s="8"/>
      <c r="BB9" s="8"/>
      <c r="BC9" s="15">
        <v>816.3390873754762</v>
      </c>
      <c r="BD9" s="8"/>
      <c r="BE9" s="10"/>
      <c r="BF9" s="8"/>
      <c r="BG9" s="8" t="s">
        <v>13</v>
      </c>
      <c r="BH9" s="8"/>
      <c r="BI9" s="8"/>
      <c r="BJ9" s="15">
        <v>793.0201489618227</v>
      </c>
      <c r="BK9" s="8"/>
      <c r="BL9" s="10"/>
      <c r="BM9" s="8"/>
      <c r="BN9" s="8" t="s">
        <v>13</v>
      </c>
      <c r="BO9" s="8"/>
      <c r="BP9" s="8"/>
      <c r="BQ9" s="15">
        <v>791.7611415552876</v>
      </c>
      <c r="BR9" s="8"/>
      <c r="BS9" s="10"/>
      <c r="BT9" s="8"/>
      <c r="BU9" s="8" t="s">
        <v>13</v>
      </c>
      <c r="BV9" s="8"/>
      <c r="BW9" s="8"/>
      <c r="BX9" s="15">
        <v>791.022009533449</v>
      </c>
      <c r="BY9" s="8"/>
      <c r="BZ9" s="10"/>
      <c r="CA9" s="8"/>
      <c r="CB9" s="8" t="s">
        <v>13</v>
      </c>
      <c r="CC9" s="8"/>
      <c r="CD9" s="8"/>
      <c r="CE9" s="15">
        <v>835.4155932816236</v>
      </c>
      <c r="CF9" s="8"/>
      <c r="CG9" s="10"/>
      <c r="CH9" s="8"/>
      <c r="CI9" s="8" t="s">
        <v>13</v>
      </c>
      <c r="CJ9" s="8"/>
      <c r="CK9" s="8"/>
      <c r="CL9" s="15">
        <v>788.0353909205577</v>
      </c>
      <c r="CM9" s="8"/>
      <c r="CN9" s="10"/>
      <c r="CO9" s="8"/>
      <c r="CP9" s="8" t="s">
        <v>13</v>
      </c>
      <c r="CQ9" s="8"/>
      <c r="CR9" s="8"/>
      <c r="CS9" s="15">
        <v>767.9977144236432</v>
      </c>
      <c r="CT9" s="8"/>
      <c r="CU9" s="10"/>
      <c r="CV9" s="8"/>
      <c r="CW9" s="8" t="s">
        <v>13</v>
      </c>
      <c r="CX9" s="8"/>
      <c r="CY9" s="8"/>
      <c r="CZ9" s="15">
        <v>833.1663767045453</v>
      </c>
      <c r="DA9" s="8"/>
      <c r="DB9" s="10"/>
      <c r="DC9" s="8"/>
    </row>
    <row r="10" spans="1:107" ht="12.75">
      <c r="A10" s="8" t="s">
        <v>14</v>
      </c>
      <c r="B10" s="8"/>
      <c r="C10" s="8"/>
      <c r="D10" s="16">
        <v>8.43</v>
      </c>
      <c r="E10" s="8" t="s">
        <v>11</v>
      </c>
      <c r="F10" s="10"/>
      <c r="G10" s="8"/>
      <c r="H10" s="8"/>
      <c r="I10" s="8"/>
      <c r="J10" s="8" t="s">
        <v>14</v>
      </c>
      <c r="K10" s="8"/>
      <c r="L10" s="8"/>
      <c r="M10" s="16">
        <v>10.418613956070688</v>
      </c>
      <c r="N10" s="8" t="s">
        <v>11</v>
      </c>
      <c r="O10" s="10"/>
      <c r="P10" s="8"/>
      <c r="Q10" s="8" t="s">
        <v>14</v>
      </c>
      <c r="R10" s="8"/>
      <c r="S10" s="8"/>
      <c r="T10" s="16">
        <v>9.532034793563577</v>
      </c>
      <c r="U10" s="8" t="s">
        <v>11</v>
      </c>
      <c r="V10" s="10"/>
      <c r="W10" s="8"/>
      <c r="X10" s="8" t="s">
        <v>14</v>
      </c>
      <c r="Y10" s="8"/>
      <c r="Z10" s="8"/>
      <c r="AA10" s="16">
        <v>10.550389172255844</v>
      </c>
      <c r="AB10" s="8" t="s">
        <v>11</v>
      </c>
      <c r="AC10" s="10"/>
      <c r="AD10" s="8"/>
      <c r="AE10" s="8" t="s">
        <v>14</v>
      </c>
      <c r="AF10" s="8"/>
      <c r="AG10" s="8"/>
      <c r="AH10" s="16">
        <v>12.274976494349604</v>
      </c>
      <c r="AI10" s="8" t="s">
        <v>11</v>
      </c>
      <c r="AJ10" s="10"/>
      <c r="AK10" s="8"/>
      <c r="AL10" s="8" t="s">
        <v>14</v>
      </c>
      <c r="AM10" s="8"/>
      <c r="AN10" s="8"/>
      <c r="AO10" s="16">
        <v>13.017463292383114</v>
      </c>
      <c r="AP10" s="8" t="s">
        <v>11</v>
      </c>
      <c r="AQ10" s="10"/>
      <c r="AR10" s="8"/>
      <c r="AS10" s="8" t="s">
        <v>14</v>
      </c>
      <c r="AT10" s="8"/>
      <c r="AU10" s="8"/>
      <c r="AV10" s="16">
        <v>13.854125666565718</v>
      </c>
      <c r="AW10" s="8" t="s">
        <v>11</v>
      </c>
      <c r="AX10" s="10"/>
      <c r="AY10" s="8"/>
      <c r="AZ10" s="8" t="s">
        <v>14</v>
      </c>
      <c r="BA10" s="8"/>
      <c r="BB10" s="8"/>
      <c r="BC10" s="16">
        <v>12.506141435077103</v>
      </c>
      <c r="BD10" s="8" t="s">
        <v>11</v>
      </c>
      <c r="BE10" s="10"/>
      <c r="BF10" s="8"/>
      <c r="BG10" s="8" t="s">
        <v>14</v>
      </c>
      <c r="BH10" s="8"/>
      <c r="BI10" s="8"/>
      <c r="BJ10" s="16">
        <v>12.743297119398378</v>
      </c>
      <c r="BK10" s="8" t="s">
        <v>11</v>
      </c>
      <c r="BL10" s="10"/>
      <c r="BM10" s="8"/>
      <c r="BN10" s="8" t="s">
        <v>14</v>
      </c>
      <c r="BO10" s="8"/>
      <c r="BP10" s="8"/>
      <c r="BQ10" s="16">
        <v>14.149802488997139</v>
      </c>
      <c r="BR10" s="8" t="s">
        <v>11</v>
      </c>
      <c r="BS10" s="10"/>
      <c r="BT10" s="8"/>
      <c r="BU10" s="8" t="s">
        <v>14</v>
      </c>
      <c r="BV10" s="8"/>
      <c r="BW10" s="8"/>
      <c r="BX10" s="16">
        <v>14.674195633427601</v>
      </c>
      <c r="BY10" s="8" t="s">
        <v>11</v>
      </c>
      <c r="BZ10" s="10"/>
      <c r="CA10" s="8"/>
      <c r="CB10" s="8" t="s">
        <v>14</v>
      </c>
      <c r="CC10" s="8"/>
      <c r="CD10" s="8"/>
      <c r="CE10" s="16">
        <v>13.326005391999153</v>
      </c>
      <c r="CF10" s="8" t="s">
        <v>11</v>
      </c>
      <c r="CG10" s="10"/>
      <c r="CH10" s="8"/>
      <c r="CI10" s="8" t="s">
        <v>14</v>
      </c>
      <c r="CJ10" s="8"/>
      <c r="CK10" s="8"/>
      <c r="CL10" s="16">
        <v>17.91801920150146</v>
      </c>
      <c r="CM10" s="8" t="s">
        <v>11</v>
      </c>
      <c r="CN10" s="10"/>
      <c r="CO10" s="8"/>
      <c r="CP10" s="8" t="s">
        <v>14</v>
      </c>
      <c r="CQ10" s="8"/>
      <c r="CR10" s="8"/>
      <c r="CS10" s="16">
        <v>22.354638394629312</v>
      </c>
      <c r="CT10" s="8" t="s">
        <v>11</v>
      </c>
      <c r="CU10" s="10"/>
      <c r="CV10" s="8"/>
      <c r="CW10" s="8" t="s">
        <v>14</v>
      </c>
      <c r="CX10" s="8"/>
      <c r="CY10" s="8"/>
      <c r="CZ10" s="16">
        <v>20.386088043013476</v>
      </c>
      <c r="DA10" s="8" t="s">
        <v>11</v>
      </c>
      <c r="DB10" s="10"/>
      <c r="DC10" s="8"/>
    </row>
    <row r="11" spans="1:107" ht="12.75">
      <c r="A11" s="8" t="s">
        <v>15</v>
      </c>
      <c r="B11" s="8"/>
      <c r="C11" s="8"/>
      <c r="D11" s="17">
        <v>0.1358</v>
      </c>
      <c r="E11" s="8"/>
      <c r="F11" s="10"/>
      <c r="G11" s="8"/>
      <c r="H11" s="8"/>
      <c r="I11" s="8"/>
      <c r="J11" s="8" t="s">
        <v>15</v>
      </c>
      <c r="K11" s="8"/>
      <c r="L11" s="8"/>
      <c r="M11" s="17">
        <f>14.1392770010522/100</f>
        <v>0.141392770010522</v>
      </c>
      <c r="N11" s="8"/>
      <c r="O11" s="10"/>
      <c r="P11" s="8"/>
      <c r="Q11" s="8" t="s">
        <v>15</v>
      </c>
      <c r="R11" s="8"/>
      <c r="S11" s="8"/>
      <c r="T11" s="17">
        <v>0.1578901397862575</v>
      </c>
      <c r="U11" s="8"/>
      <c r="V11" s="10"/>
      <c r="W11" s="8"/>
      <c r="X11" s="8" t="s">
        <v>15</v>
      </c>
      <c r="Y11" s="8"/>
      <c r="Z11" s="8"/>
      <c r="AA11" s="17">
        <v>0.15702211932501334</v>
      </c>
      <c r="AB11" s="8"/>
      <c r="AC11" s="10"/>
      <c r="AD11" s="8"/>
      <c r="AE11" s="8" t="s">
        <v>15</v>
      </c>
      <c r="AF11" s="8"/>
      <c r="AG11" s="8"/>
      <c r="AH11" s="17">
        <v>0.155878531906743</v>
      </c>
      <c r="AI11" s="8"/>
      <c r="AJ11" s="10"/>
      <c r="AK11" s="8"/>
      <c r="AL11" s="8" t="s">
        <v>15</v>
      </c>
      <c r="AM11" s="8"/>
      <c r="AN11" s="8"/>
      <c r="AO11" s="17">
        <v>0.15383098931770867</v>
      </c>
      <c r="AP11" s="8"/>
      <c r="AQ11" s="10"/>
      <c r="AR11" s="8"/>
      <c r="AS11" s="8" t="s">
        <v>15</v>
      </c>
      <c r="AT11" s="8"/>
      <c r="AU11" s="8"/>
      <c r="AV11" s="17">
        <v>0.15278155344156488</v>
      </c>
      <c r="AW11" s="8"/>
      <c r="AX11" s="10"/>
      <c r="AY11" s="8"/>
      <c r="AZ11" s="8" t="s">
        <v>15</v>
      </c>
      <c r="BA11" s="8"/>
      <c r="BB11" s="8"/>
      <c r="BC11" s="17">
        <v>0.1459536920436234</v>
      </c>
      <c r="BD11" s="8"/>
      <c r="BE11" s="10"/>
      <c r="BF11" s="8"/>
      <c r="BG11" s="8" t="s">
        <v>15</v>
      </c>
      <c r="BH11" s="8"/>
      <c r="BI11" s="8"/>
      <c r="BJ11" s="17">
        <v>0.14723236040478516</v>
      </c>
      <c r="BK11" s="8"/>
      <c r="BL11" s="10"/>
      <c r="BM11" s="8"/>
      <c r="BN11" s="8" t="s">
        <v>15</v>
      </c>
      <c r="BO11" s="8"/>
      <c r="BP11" s="8"/>
      <c r="BQ11" s="17">
        <v>0.14797613120583852</v>
      </c>
      <c r="BR11" s="8"/>
      <c r="BS11" s="10"/>
      <c r="BT11" s="8"/>
      <c r="BU11" s="8" t="s">
        <v>15</v>
      </c>
      <c r="BV11" s="8"/>
      <c r="BW11" s="8"/>
      <c r="BX11" s="17">
        <v>0.14778431743710085</v>
      </c>
      <c r="BY11" s="8"/>
      <c r="BZ11" s="10"/>
      <c r="CA11" s="8"/>
      <c r="CB11" s="8" t="s">
        <v>15</v>
      </c>
      <c r="CC11" s="8"/>
      <c r="CD11" s="8"/>
      <c r="CE11" s="17">
        <v>0.14515562653815417</v>
      </c>
      <c r="CF11" s="8"/>
      <c r="CG11" s="10"/>
      <c r="CH11" s="8"/>
      <c r="CI11" s="8" t="s">
        <v>15</v>
      </c>
      <c r="CJ11" s="8"/>
      <c r="CK11" s="8"/>
      <c r="CL11" s="17">
        <v>0.1529718912758452</v>
      </c>
      <c r="CM11" s="8"/>
      <c r="CN11" s="10"/>
      <c r="CO11" s="8"/>
      <c r="CP11" s="8" t="s">
        <v>15</v>
      </c>
      <c r="CQ11" s="8"/>
      <c r="CR11" s="8"/>
      <c r="CS11" s="17">
        <v>0.16094021328583166</v>
      </c>
      <c r="CT11" s="8"/>
      <c r="CU11" s="10"/>
      <c r="CV11" s="8"/>
      <c r="CW11" s="8" t="s">
        <v>15</v>
      </c>
      <c r="CX11" s="8"/>
      <c r="CY11" s="8"/>
      <c r="CZ11" s="17">
        <v>0.15304755872573153</v>
      </c>
      <c r="DA11" s="8"/>
      <c r="DB11" s="10"/>
      <c r="DC11" s="8"/>
    </row>
    <row r="12" spans="1:107" ht="12.75">
      <c r="A12" s="8" t="s">
        <v>16</v>
      </c>
      <c r="B12" s="8"/>
      <c r="C12" s="8"/>
      <c r="D12" s="16">
        <v>1.69</v>
      </c>
      <c r="E12" s="8" t="s">
        <v>79</v>
      </c>
      <c r="F12" s="10"/>
      <c r="G12" s="8"/>
      <c r="H12" s="8"/>
      <c r="I12" s="8"/>
      <c r="J12" s="8" t="s">
        <v>16</v>
      </c>
      <c r="K12" s="8"/>
      <c r="L12" s="8"/>
      <c r="M12" s="16">
        <v>1.664027617069463</v>
      </c>
      <c r="N12" s="8" t="s">
        <v>79</v>
      </c>
      <c r="O12" s="10"/>
      <c r="P12" s="8"/>
      <c r="Q12" s="8" t="s">
        <v>16</v>
      </c>
      <c r="R12" s="8"/>
      <c r="S12" s="8"/>
      <c r="T12" s="16">
        <v>1.6956526642461247</v>
      </c>
      <c r="U12" s="8" t="s">
        <v>79</v>
      </c>
      <c r="V12" s="10"/>
      <c r="W12" s="8"/>
      <c r="X12" s="8" t="s">
        <v>16</v>
      </c>
      <c r="Y12" s="8"/>
      <c r="Z12" s="8"/>
      <c r="AA12" s="16">
        <v>1.6726925483662523</v>
      </c>
      <c r="AB12" s="8" t="s">
        <v>79</v>
      </c>
      <c r="AC12" s="10"/>
      <c r="AD12" s="8"/>
      <c r="AE12" s="8" t="s">
        <v>16</v>
      </c>
      <c r="AF12" s="8"/>
      <c r="AG12" s="8"/>
      <c r="AH12" s="16">
        <v>1.6316663722843374</v>
      </c>
      <c r="AI12" s="8" t="s">
        <v>79</v>
      </c>
      <c r="AJ12" s="10"/>
      <c r="AK12" s="8"/>
      <c r="AL12" s="8" t="s">
        <v>16</v>
      </c>
      <c r="AM12" s="8"/>
      <c r="AN12" s="8"/>
      <c r="AO12" s="16">
        <v>1.5874750021020994</v>
      </c>
      <c r="AP12" s="8" t="s">
        <v>79</v>
      </c>
      <c r="AQ12" s="10"/>
      <c r="AR12" s="8"/>
      <c r="AS12" s="8" t="s">
        <v>16</v>
      </c>
      <c r="AT12" s="8"/>
      <c r="AU12" s="8"/>
      <c r="AV12" s="16">
        <v>1.569553287598094</v>
      </c>
      <c r="AW12" s="8" t="s">
        <v>79</v>
      </c>
      <c r="AX12" s="10"/>
      <c r="AY12" s="8"/>
      <c r="AZ12" s="8" t="s">
        <v>16</v>
      </c>
      <c r="BA12" s="8"/>
      <c r="BB12" s="8"/>
      <c r="BC12" s="16">
        <v>1.5150977481613126</v>
      </c>
      <c r="BD12" s="8" t="s">
        <v>79</v>
      </c>
      <c r="BE12" s="10"/>
      <c r="BF12" s="8"/>
      <c r="BG12" s="8" t="s">
        <v>16</v>
      </c>
      <c r="BH12" s="8"/>
      <c r="BI12" s="8"/>
      <c r="BJ12" s="16">
        <v>1.4483113934108014</v>
      </c>
      <c r="BK12" s="8" t="s">
        <v>79</v>
      </c>
      <c r="BL12" s="10"/>
      <c r="BM12" s="8"/>
      <c r="BN12" s="8" t="s">
        <v>16</v>
      </c>
      <c r="BO12" s="8"/>
      <c r="BP12" s="8"/>
      <c r="BQ12" s="16">
        <v>1.3927890691876594</v>
      </c>
      <c r="BR12" s="8" t="s">
        <v>79</v>
      </c>
      <c r="BS12" s="10"/>
      <c r="BT12" s="8"/>
      <c r="BU12" s="8" t="s">
        <v>16</v>
      </c>
      <c r="BV12" s="8"/>
      <c r="BW12" s="8"/>
      <c r="BX12" s="16">
        <v>1.3445832216090785</v>
      </c>
      <c r="BY12" s="8" t="s">
        <v>79</v>
      </c>
      <c r="BZ12" s="10"/>
      <c r="CA12" s="8"/>
      <c r="CB12" s="8" t="s">
        <v>16</v>
      </c>
      <c r="CC12" s="8"/>
      <c r="CD12" s="8"/>
      <c r="CE12" s="16">
        <v>1.2976470108318134</v>
      </c>
      <c r="CF12" s="8" t="s">
        <v>79</v>
      </c>
      <c r="CG12" s="10"/>
      <c r="CH12" s="8"/>
      <c r="CI12" s="8" t="s">
        <v>16</v>
      </c>
      <c r="CJ12" s="8"/>
      <c r="CK12" s="8"/>
      <c r="CL12" s="16">
        <v>1.2423365137781406</v>
      </c>
      <c r="CM12" s="8" t="s">
        <v>79</v>
      </c>
      <c r="CN12" s="10"/>
      <c r="CO12" s="8"/>
      <c r="CP12" s="8" t="s">
        <v>16</v>
      </c>
      <c r="CQ12" s="8"/>
      <c r="CR12" s="8"/>
      <c r="CS12" s="16">
        <v>1.15204393333503</v>
      </c>
      <c r="CT12" s="8" t="s">
        <v>79</v>
      </c>
      <c r="CU12" s="10"/>
      <c r="CV12" s="8"/>
      <c r="CW12" s="8" t="s">
        <v>16</v>
      </c>
      <c r="CX12" s="8"/>
      <c r="CY12" s="8"/>
      <c r="CZ12" s="16">
        <v>1.0828784510054228</v>
      </c>
      <c r="DA12" s="8" t="s">
        <v>79</v>
      </c>
      <c r="DB12" s="10"/>
      <c r="DC12" s="8"/>
    </row>
    <row r="13" spans="1:107" ht="12.75">
      <c r="A13" s="8"/>
      <c r="B13" s="8"/>
      <c r="C13" s="8"/>
      <c r="D13" s="10"/>
      <c r="E13" s="8"/>
      <c r="F13" s="10"/>
      <c r="G13" s="8"/>
      <c r="H13" s="8"/>
      <c r="I13" s="8"/>
      <c r="J13" s="8"/>
      <c r="K13" s="8"/>
      <c r="L13" s="8"/>
      <c r="M13" s="10"/>
      <c r="N13" s="8"/>
      <c r="O13" s="10"/>
      <c r="P13" s="8"/>
      <c r="Q13" s="8"/>
      <c r="R13" s="8"/>
      <c r="S13" s="8"/>
      <c r="T13" s="10"/>
      <c r="U13" s="8"/>
      <c r="V13" s="10"/>
      <c r="W13" s="8"/>
      <c r="X13" s="8"/>
      <c r="Y13" s="8"/>
      <c r="Z13" s="8"/>
      <c r="AA13" s="10"/>
      <c r="AB13" s="8"/>
      <c r="AC13" s="10"/>
      <c r="AD13" s="8"/>
      <c r="AE13" s="8"/>
      <c r="AF13" s="8"/>
      <c r="AG13" s="8"/>
      <c r="AH13" s="10"/>
      <c r="AI13" s="8"/>
      <c r="AJ13" s="10"/>
      <c r="AK13" s="8"/>
      <c r="AL13" s="8"/>
      <c r="AM13" s="8"/>
      <c r="AN13" s="8"/>
      <c r="AO13" s="10"/>
      <c r="AP13" s="8"/>
      <c r="AQ13" s="10"/>
      <c r="AR13" s="8"/>
      <c r="AS13" s="8"/>
      <c r="AT13" s="8"/>
      <c r="AU13" s="8"/>
      <c r="AV13" s="10"/>
      <c r="AW13" s="8"/>
      <c r="AX13" s="10"/>
      <c r="AY13" s="8"/>
      <c r="AZ13" s="8"/>
      <c r="BA13" s="8"/>
      <c r="BB13" s="8"/>
      <c r="BC13" s="10"/>
      <c r="BD13" s="8"/>
      <c r="BE13" s="10"/>
      <c r="BF13" s="8"/>
      <c r="BG13" s="8"/>
      <c r="BH13" s="8"/>
      <c r="BI13" s="8"/>
      <c r="BJ13" s="10"/>
      <c r="BK13" s="8"/>
      <c r="BL13" s="10"/>
      <c r="BM13" s="8"/>
      <c r="BN13" s="8"/>
      <c r="BO13" s="8"/>
      <c r="BP13" s="8"/>
      <c r="BQ13" s="10"/>
      <c r="BR13" s="8"/>
      <c r="BS13" s="10"/>
      <c r="BT13" s="8"/>
      <c r="BU13" s="8"/>
      <c r="BV13" s="8"/>
      <c r="BW13" s="8"/>
      <c r="BX13" s="10"/>
      <c r="BY13" s="8"/>
      <c r="BZ13" s="10"/>
      <c r="CA13" s="8"/>
      <c r="CB13" s="8"/>
      <c r="CC13" s="8"/>
      <c r="CD13" s="8"/>
      <c r="CE13" s="10"/>
      <c r="CF13" s="8"/>
      <c r="CG13" s="10"/>
      <c r="CH13" s="8"/>
      <c r="CI13" s="8"/>
      <c r="CJ13" s="8"/>
      <c r="CK13" s="8"/>
      <c r="CL13" s="10"/>
      <c r="CM13" s="8"/>
      <c r="CN13" s="10"/>
      <c r="CO13" s="8"/>
      <c r="CP13" s="8"/>
      <c r="CQ13" s="8"/>
      <c r="CR13" s="8"/>
      <c r="CS13" s="10"/>
      <c r="CT13" s="8"/>
      <c r="CU13" s="10"/>
      <c r="CV13" s="8"/>
      <c r="CW13" s="8"/>
      <c r="CX13" s="8"/>
      <c r="CY13" s="8"/>
      <c r="CZ13" s="10"/>
      <c r="DA13" s="8"/>
      <c r="DB13" s="10"/>
      <c r="DC13" s="8"/>
    </row>
    <row r="14" spans="1:107" ht="12.75">
      <c r="A14" s="8"/>
      <c r="B14" s="8"/>
      <c r="C14" s="8"/>
      <c r="D14" s="10"/>
      <c r="E14" s="8"/>
      <c r="F14" s="10"/>
      <c r="G14" s="8"/>
      <c r="H14" s="8"/>
      <c r="I14" s="8"/>
      <c r="J14" s="8"/>
      <c r="K14" s="8"/>
      <c r="L14" s="8"/>
      <c r="M14" s="10"/>
      <c r="N14" s="8"/>
      <c r="O14" s="10"/>
      <c r="P14" s="8"/>
      <c r="Q14" s="8"/>
      <c r="R14" s="8"/>
      <c r="S14" s="8"/>
      <c r="T14" s="10"/>
      <c r="U14" s="8"/>
      <c r="V14" s="10"/>
      <c r="W14" s="8"/>
      <c r="X14" s="8"/>
      <c r="Y14" s="8"/>
      <c r="Z14" s="8"/>
      <c r="AA14" s="10"/>
      <c r="AB14" s="8"/>
      <c r="AC14" s="10"/>
      <c r="AD14" s="8"/>
      <c r="AE14" s="8"/>
      <c r="AF14" s="8"/>
      <c r="AG14" s="8"/>
      <c r="AH14" s="10"/>
      <c r="AI14" s="8"/>
      <c r="AJ14" s="10"/>
      <c r="AK14" s="8"/>
      <c r="AL14" s="8"/>
      <c r="AM14" s="8"/>
      <c r="AN14" s="8"/>
      <c r="AO14" s="10"/>
      <c r="AP14" s="8"/>
      <c r="AQ14" s="10"/>
      <c r="AR14" s="8"/>
      <c r="AS14" s="8"/>
      <c r="AT14" s="8"/>
      <c r="AU14" s="8"/>
      <c r="AV14" s="10"/>
      <c r="AW14" s="8"/>
      <c r="AX14" s="10"/>
      <c r="AY14" s="8"/>
      <c r="AZ14" s="8"/>
      <c r="BA14" s="8"/>
      <c r="BB14" s="8"/>
      <c r="BC14" s="10"/>
      <c r="BD14" s="8"/>
      <c r="BE14" s="10"/>
      <c r="BF14" s="8"/>
      <c r="BG14" s="8"/>
      <c r="BH14" s="8"/>
      <c r="BI14" s="8"/>
      <c r="BJ14" s="10"/>
      <c r="BK14" s="8"/>
      <c r="BL14" s="10"/>
      <c r="BM14" s="8"/>
      <c r="BN14" s="8"/>
      <c r="BO14" s="8"/>
      <c r="BP14" s="8"/>
      <c r="BQ14" s="10"/>
      <c r="BR14" s="8"/>
      <c r="BS14" s="10"/>
      <c r="BT14" s="8"/>
      <c r="BU14" s="8"/>
      <c r="BV14" s="8"/>
      <c r="BW14" s="8"/>
      <c r="BX14" s="10"/>
      <c r="BY14" s="8"/>
      <c r="BZ14" s="10"/>
      <c r="CA14" s="8"/>
      <c r="CB14" s="8"/>
      <c r="CC14" s="8"/>
      <c r="CD14" s="8"/>
      <c r="CE14" s="10"/>
      <c r="CF14" s="8"/>
      <c r="CG14" s="10"/>
      <c r="CH14" s="8"/>
      <c r="CI14" s="8"/>
      <c r="CJ14" s="8"/>
      <c r="CK14" s="8"/>
      <c r="CL14" s="10"/>
      <c r="CM14" s="8"/>
      <c r="CN14" s="10"/>
      <c r="CO14" s="8"/>
      <c r="CP14" s="8"/>
      <c r="CQ14" s="8"/>
      <c r="CR14" s="8"/>
      <c r="CS14" s="10"/>
      <c r="CT14" s="8"/>
      <c r="CU14" s="10"/>
      <c r="CV14" s="8"/>
      <c r="CW14" s="8"/>
      <c r="CX14" s="8"/>
      <c r="CY14" s="8"/>
      <c r="CZ14" s="10"/>
      <c r="DA14" s="8"/>
      <c r="DB14" s="10"/>
      <c r="DC14" s="8"/>
    </row>
    <row r="15" spans="1:107" ht="12.75">
      <c r="A15" s="8"/>
      <c r="B15" s="8"/>
      <c r="C15" s="8"/>
      <c r="D15" s="10"/>
      <c r="E15" s="8"/>
      <c r="F15" s="10"/>
      <c r="G15" s="8"/>
      <c r="H15" s="8"/>
      <c r="I15" s="8"/>
      <c r="J15" s="8"/>
      <c r="K15" s="8"/>
      <c r="L15" s="8"/>
      <c r="M15" s="10"/>
      <c r="N15" s="8"/>
      <c r="O15" s="10"/>
      <c r="P15" s="8"/>
      <c r="Q15" s="8"/>
      <c r="R15" s="8"/>
      <c r="S15" s="8"/>
      <c r="T15" s="10"/>
      <c r="U15" s="8"/>
      <c r="V15" s="10"/>
      <c r="W15" s="8"/>
      <c r="X15" s="8"/>
      <c r="Y15" s="8"/>
      <c r="Z15" s="8"/>
      <c r="AA15" s="10"/>
      <c r="AB15" s="8"/>
      <c r="AC15" s="10"/>
      <c r="AD15" s="8"/>
      <c r="AE15" s="8"/>
      <c r="AF15" s="8"/>
      <c r="AG15" s="8"/>
      <c r="AH15" s="10"/>
      <c r="AI15" s="8"/>
      <c r="AJ15" s="10"/>
      <c r="AK15" s="8"/>
      <c r="AL15" s="8"/>
      <c r="AM15" s="8"/>
      <c r="AN15" s="8"/>
      <c r="AO15" s="10"/>
      <c r="AP15" s="8"/>
      <c r="AQ15" s="10"/>
      <c r="AR15" s="8"/>
      <c r="AS15" s="8"/>
      <c r="AT15" s="8"/>
      <c r="AU15" s="8"/>
      <c r="AV15" s="10"/>
      <c r="AW15" s="8"/>
      <c r="AX15" s="10"/>
      <c r="AY15" s="8"/>
      <c r="AZ15" s="8"/>
      <c r="BA15" s="8"/>
      <c r="BB15" s="8"/>
      <c r="BC15" s="10"/>
      <c r="BD15" s="8"/>
      <c r="BE15" s="10"/>
      <c r="BF15" s="8"/>
      <c r="BG15" s="8"/>
      <c r="BH15" s="8"/>
      <c r="BI15" s="8"/>
      <c r="BJ15" s="10"/>
      <c r="BK15" s="8"/>
      <c r="BL15" s="10"/>
      <c r="BM15" s="8"/>
      <c r="BN15" s="8"/>
      <c r="BO15" s="8"/>
      <c r="BP15" s="8"/>
      <c r="BQ15" s="10"/>
      <c r="BR15" s="8"/>
      <c r="BS15" s="10"/>
      <c r="BT15" s="8"/>
      <c r="BU15" s="8"/>
      <c r="BV15" s="8"/>
      <c r="BW15" s="8"/>
      <c r="BX15" s="10"/>
      <c r="BY15" s="8"/>
      <c r="BZ15" s="10"/>
      <c r="CA15" s="8"/>
      <c r="CB15" s="8"/>
      <c r="CC15" s="8"/>
      <c r="CD15" s="8"/>
      <c r="CE15" s="10"/>
      <c r="CF15" s="8"/>
      <c r="CG15" s="10"/>
      <c r="CH15" s="8"/>
      <c r="CI15" s="8"/>
      <c r="CJ15" s="8"/>
      <c r="CK15" s="8"/>
      <c r="CL15" s="10"/>
      <c r="CM15" s="8"/>
      <c r="CN15" s="10"/>
      <c r="CO15" s="8"/>
      <c r="CP15" s="8"/>
      <c r="CQ15" s="8"/>
      <c r="CR15" s="8"/>
      <c r="CS15" s="10"/>
      <c r="CT15" s="8"/>
      <c r="CU15" s="10"/>
      <c r="CV15" s="8"/>
      <c r="CW15" s="8"/>
      <c r="CX15" s="8"/>
      <c r="CY15" s="8"/>
      <c r="CZ15" s="10"/>
      <c r="DA15" s="8"/>
      <c r="DB15" s="10"/>
      <c r="DC15" s="8"/>
    </row>
    <row r="16" spans="1:107" ht="12.75">
      <c r="A16" s="19" t="s">
        <v>110</v>
      </c>
      <c r="B16" s="8"/>
      <c r="C16" s="8"/>
      <c r="D16" s="10"/>
      <c r="E16" s="8"/>
      <c r="F16" s="10"/>
      <c r="G16" s="8"/>
      <c r="H16" s="8"/>
      <c r="I16" s="8"/>
      <c r="J16" s="19" t="s">
        <v>110</v>
      </c>
      <c r="K16" s="8"/>
      <c r="L16" s="8"/>
      <c r="M16" s="10"/>
      <c r="N16" s="8"/>
      <c r="O16" s="10"/>
      <c r="P16" s="8"/>
      <c r="Q16" s="19" t="s">
        <v>110</v>
      </c>
      <c r="R16" s="8"/>
      <c r="S16" s="8"/>
      <c r="T16" s="10"/>
      <c r="U16" s="8"/>
      <c r="V16" s="10"/>
      <c r="W16" s="8"/>
      <c r="X16" s="19" t="s">
        <v>110</v>
      </c>
      <c r="Y16" s="8"/>
      <c r="Z16" s="8"/>
      <c r="AA16" s="10"/>
      <c r="AB16" s="8"/>
      <c r="AC16" s="10"/>
      <c r="AD16" s="8"/>
      <c r="AE16" s="19" t="s">
        <v>110</v>
      </c>
      <c r="AF16" s="8"/>
      <c r="AG16" s="8"/>
      <c r="AH16" s="10"/>
      <c r="AI16" s="8"/>
      <c r="AJ16" s="10"/>
      <c r="AK16" s="8"/>
      <c r="AL16" s="19" t="s">
        <v>110</v>
      </c>
      <c r="AM16" s="8"/>
      <c r="AN16" s="8"/>
      <c r="AO16" s="10"/>
      <c r="AP16" s="8"/>
      <c r="AQ16" s="10"/>
      <c r="AR16" s="8"/>
      <c r="AS16" s="19" t="s">
        <v>110</v>
      </c>
      <c r="AT16" s="8"/>
      <c r="AU16" s="8"/>
      <c r="AV16" s="10"/>
      <c r="AW16" s="8"/>
      <c r="AX16" s="10"/>
      <c r="AY16" s="8"/>
      <c r="AZ16" s="19" t="s">
        <v>110</v>
      </c>
      <c r="BA16" s="8"/>
      <c r="BB16" s="8"/>
      <c r="BC16" s="10"/>
      <c r="BD16" s="8"/>
      <c r="BE16" s="10"/>
      <c r="BF16" s="8"/>
      <c r="BG16" s="19" t="s">
        <v>110</v>
      </c>
      <c r="BH16" s="8"/>
      <c r="BI16" s="8"/>
      <c r="BJ16" s="10"/>
      <c r="BK16" s="8"/>
      <c r="BL16" s="10"/>
      <c r="BM16" s="8"/>
      <c r="BN16" s="19" t="s">
        <v>110</v>
      </c>
      <c r="BO16" s="8"/>
      <c r="BP16" s="8"/>
      <c r="BQ16" s="10"/>
      <c r="BR16" s="8"/>
      <c r="BS16" s="10"/>
      <c r="BT16" s="8"/>
      <c r="BU16" s="19" t="s">
        <v>110</v>
      </c>
      <c r="BV16" s="8"/>
      <c r="BW16" s="8"/>
      <c r="BX16" s="10"/>
      <c r="BY16" s="8"/>
      <c r="BZ16" s="10"/>
      <c r="CA16" s="8"/>
      <c r="CB16" s="19" t="s">
        <v>110</v>
      </c>
      <c r="CC16" s="8"/>
      <c r="CD16" s="8"/>
      <c r="CE16" s="10"/>
      <c r="CF16" s="8"/>
      <c r="CG16" s="10"/>
      <c r="CH16" s="8"/>
      <c r="CI16" s="19" t="s">
        <v>110</v>
      </c>
      <c r="CJ16" s="8"/>
      <c r="CK16" s="8"/>
      <c r="CL16" s="10"/>
      <c r="CM16" s="8"/>
      <c r="CN16" s="10"/>
      <c r="CO16" s="8"/>
      <c r="CP16" s="19" t="s">
        <v>110</v>
      </c>
      <c r="CQ16" s="8"/>
      <c r="CR16" s="8"/>
      <c r="CS16" s="10"/>
      <c r="CT16" s="8"/>
      <c r="CU16" s="10"/>
      <c r="CV16" s="8"/>
      <c r="CW16" s="19" t="s">
        <v>110</v>
      </c>
      <c r="CX16" s="8"/>
      <c r="CY16" s="8"/>
      <c r="CZ16" s="10"/>
      <c r="DA16" s="8"/>
      <c r="DB16" s="10"/>
      <c r="DC16" s="8"/>
    </row>
    <row r="17" spans="1:107" ht="12.75">
      <c r="A17" s="19"/>
      <c r="B17" s="8"/>
      <c r="C17" s="8"/>
      <c r="D17" s="10"/>
      <c r="E17" s="8"/>
      <c r="F17" s="10"/>
      <c r="G17" s="8"/>
      <c r="H17" s="8"/>
      <c r="I17" s="8"/>
      <c r="J17" s="19"/>
      <c r="K17" s="8"/>
      <c r="L17" s="8"/>
      <c r="M17" s="10"/>
      <c r="N17" s="8"/>
      <c r="O17" s="10"/>
      <c r="P17" s="8"/>
      <c r="Q17" s="19"/>
      <c r="R17" s="8"/>
      <c r="S17" s="8"/>
      <c r="T17" s="10"/>
      <c r="U17" s="8"/>
      <c r="V17" s="10"/>
      <c r="W17" s="8"/>
      <c r="X17" s="19"/>
      <c r="Y17" s="8"/>
      <c r="Z17" s="8"/>
      <c r="AA17" s="10"/>
      <c r="AB17" s="8"/>
      <c r="AC17" s="10"/>
      <c r="AD17" s="8"/>
      <c r="AE17" s="19"/>
      <c r="AF17" s="8"/>
      <c r="AG17" s="8"/>
      <c r="AH17" s="10"/>
      <c r="AI17" s="8"/>
      <c r="AJ17" s="10"/>
      <c r="AK17" s="8"/>
      <c r="AL17" s="19"/>
      <c r="AM17" s="8"/>
      <c r="AN17" s="8"/>
      <c r="AO17" s="10"/>
      <c r="AP17" s="8"/>
      <c r="AQ17" s="10"/>
      <c r="AR17" s="8"/>
      <c r="AS17" s="19"/>
      <c r="AT17" s="8"/>
      <c r="AU17" s="8"/>
      <c r="AV17" s="10"/>
      <c r="AW17" s="8"/>
      <c r="AX17" s="10"/>
      <c r="AY17" s="8"/>
      <c r="AZ17" s="19"/>
      <c r="BA17" s="8"/>
      <c r="BB17" s="8"/>
      <c r="BC17" s="10"/>
      <c r="BD17" s="8"/>
      <c r="BE17" s="10"/>
      <c r="BF17" s="8"/>
      <c r="BG17" s="19"/>
      <c r="BH17" s="8"/>
      <c r="BI17" s="8"/>
      <c r="BJ17" s="10"/>
      <c r="BK17" s="8"/>
      <c r="BL17" s="10"/>
      <c r="BM17" s="8"/>
      <c r="BN17" s="19"/>
      <c r="BO17" s="8"/>
      <c r="BP17" s="8"/>
      <c r="BQ17" s="10"/>
      <c r="BR17" s="8"/>
      <c r="BS17" s="10"/>
      <c r="BT17" s="8"/>
      <c r="BU17" s="19"/>
      <c r="BV17" s="8"/>
      <c r="BW17" s="8"/>
      <c r="BX17" s="10"/>
      <c r="BY17" s="8"/>
      <c r="BZ17" s="10"/>
      <c r="CA17" s="8"/>
      <c r="CB17" s="19"/>
      <c r="CC17" s="8"/>
      <c r="CD17" s="8"/>
      <c r="CE17" s="10"/>
      <c r="CF17" s="8"/>
      <c r="CG17" s="10"/>
      <c r="CH17" s="8"/>
      <c r="CI17" s="19"/>
      <c r="CJ17" s="8"/>
      <c r="CK17" s="8"/>
      <c r="CL17" s="10"/>
      <c r="CM17" s="8"/>
      <c r="CN17" s="10"/>
      <c r="CO17" s="8"/>
      <c r="CP17" s="19"/>
      <c r="CQ17" s="8"/>
      <c r="CR17" s="8"/>
      <c r="CS17" s="10"/>
      <c r="CT17" s="8"/>
      <c r="CU17" s="10"/>
      <c r="CV17" s="8"/>
      <c r="CW17" s="19"/>
      <c r="CX17" s="8"/>
      <c r="CY17" s="8"/>
      <c r="CZ17" s="10"/>
      <c r="DA17" s="8"/>
      <c r="DB17" s="10"/>
      <c r="DC17" s="8"/>
    </row>
    <row r="18" spans="1:107" s="29" customFormat="1" ht="12.75">
      <c r="A18" s="25"/>
      <c r="B18" s="26"/>
      <c r="C18" s="26"/>
      <c r="D18" s="27" t="s">
        <v>99</v>
      </c>
      <c r="E18" s="26" t="s">
        <v>100</v>
      </c>
      <c r="F18" s="28" t="s">
        <v>101</v>
      </c>
      <c r="G18" s="26" t="s">
        <v>100</v>
      </c>
      <c r="H18" s="25"/>
      <c r="I18" s="25"/>
      <c r="J18" s="27" t="s">
        <v>99</v>
      </c>
      <c r="K18" s="26" t="s">
        <v>100</v>
      </c>
      <c r="L18" s="28" t="s">
        <v>101</v>
      </c>
      <c r="M18" s="26" t="s">
        <v>100</v>
      </c>
      <c r="N18" s="64"/>
      <c r="O18" s="65"/>
      <c r="P18" s="64"/>
      <c r="Q18" s="27" t="s">
        <v>99</v>
      </c>
      <c r="R18" s="26" t="s">
        <v>100</v>
      </c>
      <c r="S18" s="28" t="s">
        <v>101</v>
      </c>
      <c r="T18" s="26" t="s">
        <v>100</v>
      </c>
      <c r="U18" s="64"/>
      <c r="V18" s="65"/>
      <c r="W18" s="64"/>
      <c r="X18" s="27" t="s">
        <v>99</v>
      </c>
      <c r="Y18" s="26" t="s">
        <v>100</v>
      </c>
      <c r="Z18" s="28" t="s">
        <v>101</v>
      </c>
      <c r="AA18" s="26" t="s">
        <v>100</v>
      </c>
      <c r="AB18" s="64"/>
      <c r="AC18" s="65"/>
      <c r="AD18" s="64"/>
      <c r="AE18" s="27" t="s">
        <v>99</v>
      </c>
      <c r="AF18" s="26" t="s">
        <v>100</v>
      </c>
      <c r="AG18" s="28" t="s">
        <v>101</v>
      </c>
      <c r="AH18" s="26" t="s">
        <v>100</v>
      </c>
      <c r="AI18" s="64"/>
      <c r="AJ18" s="65"/>
      <c r="AK18" s="64"/>
      <c r="AL18" s="27" t="s">
        <v>99</v>
      </c>
      <c r="AM18" s="26" t="s">
        <v>100</v>
      </c>
      <c r="AN18" s="28" t="s">
        <v>101</v>
      </c>
      <c r="AO18" s="26" t="s">
        <v>100</v>
      </c>
      <c r="AP18" s="64"/>
      <c r="AQ18" s="65"/>
      <c r="AR18" s="64"/>
      <c r="AS18" s="27" t="s">
        <v>99</v>
      </c>
      <c r="AT18" s="26" t="s">
        <v>100</v>
      </c>
      <c r="AU18" s="28" t="s">
        <v>101</v>
      </c>
      <c r="AV18" s="26" t="s">
        <v>100</v>
      </c>
      <c r="AW18" s="64"/>
      <c r="AX18" s="65"/>
      <c r="AY18" s="64"/>
      <c r="AZ18" s="89" t="s">
        <v>99</v>
      </c>
      <c r="BA18" s="44" t="s">
        <v>100</v>
      </c>
      <c r="BB18" s="88" t="s">
        <v>101</v>
      </c>
      <c r="BC18" s="44" t="s">
        <v>100</v>
      </c>
      <c r="BD18" s="64"/>
      <c r="BE18" s="65"/>
      <c r="BF18" s="64"/>
      <c r="BG18" s="89" t="s">
        <v>99</v>
      </c>
      <c r="BH18" s="44" t="s">
        <v>100</v>
      </c>
      <c r="BI18" s="88" t="s">
        <v>101</v>
      </c>
      <c r="BJ18" s="44" t="s">
        <v>100</v>
      </c>
      <c r="BK18" s="64"/>
      <c r="BL18" s="65"/>
      <c r="BM18" s="64"/>
      <c r="BN18" s="89" t="s">
        <v>99</v>
      </c>
      <c r="BO18" s="44" t="s">
        <v>100</v>
      </c>
      <c r="BP18" s="88" t="s">
        <v>101</v>
      </c>
      <c r="BQ18" s="44" t="s">
        <v>100</v>
      </c>
      <c r="BR18" s="64"/>
      <c r="BS18" s="65"/>
      <c r="BT18" s="64"/>
      <c r="BU18" s="89" t="s">
        <v>99</v>
      </c>
      <c r="BV18" s="44" t="s">
        <v>100</v>
      </c>
      <c r="BW18" s="88" t="s">
        <v>101</v>
      </c>
      <c r="BX18" s="44" t="s">
        <v>100</v>
      </c>
      <c r="BY18" s="64"/>
      <c r="BZ18" s="65"/>
      <c r="CA18" s="64"/>
      <c r="CB18" s="89" t="s">
        <v>99</v>
      </c>
      <c r="CC18" s="44" t="s">
        <v>100</v>
      </c>
      <c r="CD18" s="88" t="s">
        <v>101</v>
      </c>
      <c r="CE18" s="44" t="s">
        <v>100</v>
      </c>
      <c r="CF18" s="64"/>
      <c r="CG18" s="65"/>
      <c r="CH18" s="64"/>
      <c r="CI18" s="89" t="s">
        <v>99</v>
      </c>
      <c r="CJ18" s="44" t="s">
        <v>100</v>
      </c>
      <c r="CK18" s="88" t="s">
        <v>101</v>
      </c>
      <c r="CL18" s="44" t="s">
        <v>100</v>
      </c>
      <c r="CM18" s="64"/>
      <c r="CN18" s="65"/>
      <c r="CO18" s="64"/>
      <c r="CP18" s="89" t="s">
        <v>99</v>
      </c>
      <c r="CQ18" s="44" t="s">
        <v>100</v>
      </c>
      <c r="CR18" s="88" t="s">
        <v>101</v>
      </c>
      <c r="CS18" s="44" t="s">
        <v>100</v>
      </c>
      <c r="CT18" s="64"/>
      <c r="CU18" s="65"/>
      <c r="CV18" s="64"/>
      <c r="CW18" s="89" t="s">
        <v>99</v>
      </c>
      <c r="CX18" s="44" t="s">
        <v>100</v>
      </c>
      <c r="CY18" s="88" t="s">
        <v>101</v>
      </c>
      <c r="CZ18" s="44" t="s">
        <v>100</v>
      </c>
      <c r="DA18" s="64"/>
      <c r="DB18" s="65"/>
      <c r="DC18" s="64"/>
    </row>
    <row r="19" spans="1:107" ht="12.75">
      <c r="A19" s="12"/>
      <c r="B19" s="8"/>
      <c r="C19" s="8"/>
      <c r="D19" s="10"/>
      <c r="E19" s="8"/>
      <c r="F19" s="10"/>
      <c r="G19" s="8"/>
      <c r="H19" s="8"/>
      <c r="I19" s="8"/>
      <c r="J19" s="10"/>
      <c r="K19" s="8"/>
      <c r="L19" s="10"/>
      <c r="M19" s="8"/>
      <c r="N19" s="54"/>
      <c r="O19" s="55"/>
      <c r="P19" s="54"/>
      <c r="Q19" s="10"/>
      <c r="R19" s="8"/>
      <c r="S19" s="10"/>
      <c r="T19" s="8"/>
      <c r="U19" s="54"/>
      <c r="V19" s="55"/>
      <c r="W19" s="54"/>
      <c r="X19" s="10"/>
      <c r="Y19" s="8"/>
      <c r="Z19" s="10"/>
      <c r="AA19" s="8"/>
      <c r="AB19" s="54"/>
      <c r="AC19" s="55"/>
      <c r="AD19" s="54"/>
      <c r="AE19" s="10"/>
      <c r="AF19" s="8"/>
      <c r="AG19" s="10"/>
      <c r="AH19" s="8"/>
      <c r="AI19" s="54"/>
      <c r="AJ19" s="55"/>
      <c r="AK19" s="54"/>
      <c r="AL19" s="10"/>
      <c r="AM19" s="8"/>
      <c r="AN19" s="10"/>
      <c r="AO19" s="8"/>
      <c r="AP19" s="54"/>
      <c r="AQ19" s="55"/>
      <c r="AR19" s="54"/>
      <c r="AS19" s="10"/>
      <c r="AT19" s="8"/>
      <c r="AU19" s="10"/>
      <c r="AV19" s="8"/>
      <c r="AW19" s="54"/>
      <c r="AX19" s="55"/>
      <c r="AY19" s="54"/>
      <c r="AZ19" s="10"/>
      <c r="BA19" s="8"/>
      <c r="BB19" s="10"/>
      <c r="BC19" s="8"/>
      <c r="BD19" s="54"/>
      <c r="BE19" s="55"/>
      <c r="BF19" s="54"/>
      <c r="BG19" s="10"/>
      <c r="BH19" s="8"/>
      <c r="BI19" s="10"/>
      <c r="BJ19" s="8"/>
      <c r="BK19" s="54"/>
      <c r="BL19" s="55"/>
      <c r="BM19" s="54"/>
      <c r="BN19" s="10"/>
      <c r="BO19" s="8"/>
      <c r="BP19" s="10"/>
      <c r="BQ19" s="8"/>
      <c r="BR19" s="54"/>
      <c r="BS19" s="55"/>
      <c r="BT19" s="54"/>
      <c r="BU19" s="10"/>
      <c r="BV19" s="8"/>
      <c r="BW19" s="10"/>
      <c r="BX19" s="8"/>
      <c r="BY19" s="54"/>
      <c r="BZ19" s="55"/>
      <c r="CA19" s="54"/>
      <c r="CB19" s="10"/>
      <c r="CC19" s="8"/>
      <c r="CD19" s="10"/>
      <c r="CE19" s="8"/>
      <c r="CF19" s="54"/>
      <c r="CG19" s="55"/>
      <c r="CH19" s="54"/>
      <c r="CI19" s="10"/>
      <c r="CJ19" s="8"/>
      <c r="CK19" s="10"/>
      <c r="CL19" s="8"/>
      <c r="CM19" s="54"/>
      <c r="CN19" s="55"/>
      <c r="CO19" s="54"/>
      <c r="CP19" s="10"/>
      <c r="CQ19" s="8"/>
      <c r="CR19" s="10"/>
      <c r="CS19" s="8"/>
      <c r="CT19" s="54"/>
      <c r="CU19" s="55"/>
      <c r="CV19" s="54"/>
      <c r="CW19" s="10"/>
      <c r="CX19" s="8"/>
      <c r="CY19" s="10"/>
      <c r="CZ19" s="8"/>
      <c r="DA19" s="54"/>
      <c r="DB19" s="55"/>
      <c r="DC19" s="54"/>
    </row>
    <row r="20" spans="1:107" ht="12.75">
      <c r="A20" s="8" t="s">
        <v>26</v>
      </c>
      <c r="B20" s="8"/>
      <c r="C20" s="8"/>
      <c r="D20" s="9">
        <v>23033754.35</v>
      </c>
      <c r="E20" s="14">
        <f>+D20/$D$31</f>
        <v>0.3823005148116224</v>
      </c>
      <c r="F20" s="10">
        <v>45781</v>
      </c>
      <c r="G20" s="14">
        <f>+F20/$F$31</f>
        <v>0.597873924229167</v>
      </c>
      <c r="H20" s="8"/>
      <c r="I20" s="8"/>
      <c r="J20" s="9">
        <v>15148472.999999842</v>
      </c>
      <c r="K20" s="14">
        <f>+J20/J31</f>
        <v>0.3545643182791667</v>
      </c>
      <c r="L20" s="10">
        <v>36732</v>
      </c>
      <c r="M20" s="14">
        <f>+L20/L31</f>
        <v>0.601808768595583</v>
      </c>
      <c r="N20" s="56"/>
      <c r="O20" s="55"/>
      <c r="P20" s="56"/>
      <c r="Q20" s="9">
        <v>17815015.75000015</v>
      </c>
      <c r="R20" s="14">
        <v>0.3598858852097424</v>
      </c>
      <c r="S20" s="10">
        <v>39292</v>
      </c>
      <c r="T20" s="14">
        <f>+S20/$S$31</f>
        <v>0.598826487845767</v>
      </c>
      <c r="U20" s="56"/>
      <c r="V20" s="55"/>
      <c r="W20" s="56"/>
      <c r="X20" s="9">
        <v>16588359.949999943</v>
      </c>
      <c r="Y20" s="14">
        <v>0.37419867728230627</v>
      </c>
      <c r="Z20" s="10">
        <v>34925</v>
      </c>
      <c r="AA20" s="14">
        <v>0.6087676485968276</v>
      </c>
      <c r="AB20" s="56"/>
      <c r="AC20" s="55"/>
      <c r="AD20" s="56"/>
      <c r="AE20" s="9">
        <v>13921952.170000073</v>
      </c>
      <c r="AF20" s="14">
        <v>0.3723872800928181</v>
      </c>
      <c r="AG20" s="10">
        <v>30714</v>
      </c>
      <c r="AH20" s="14">
        <v>0.6162643712755072</v>
      </c>
      <c r="AI20" s="56"/>
      <c r="AJ20" s="55"/>
      <c r="AK20" s="56"/>
      <c r="AL20" s="9">
        <v>13673857.290000154</v>
      </c>
      <c r="AM20" s="14">
        <v>0.39148738993932053</v>
      </c>
      <c r="AN20" s="10">
        <v>29876</v>
      </c>
      <c r="AO20" s="14">
        <v>0.6357272050218108</v>
      </c>
      <c r="AP20" s="56"/>
      <c r="AQ20" s="55"/>
      <c r="AR20" s="56"/>
      <c r="AS20" s="9">
        <v>12414548.599999983</v>
      </c>
      <c r="AT20" s="14">
        <v>0.38785619445457103</v>
      </c>
      <c r="AU20" s="10">
        <v>26346</v>
      </c>
      <c r="AV20" s="14">
        <v>0.6256619724999406</v>
      </c>
      <c r="AW20" s="56"/>
      <c r="AX20" s="55"/>
      <c r="AY20" s="56"/>
      <c r="AZ20" s="9">
        <v>15222097.909999972</v>
      </c>
      <c r="BA20" s="14">
        <v>0.43400947570710924</v>
      </c>
      <c r="BB20" s="10">
        <v>27546</v>
      </c>
      <c r="BC20" s="14">
        <v>0.6411414207243273</v>
      </c>
      <c r="BD20" s="56"/>
      <c r="BE20" s="55"/>
      <c r="BF20" s="56"/>
      <c r="BG20" s="9">
        <v>13184053.600000046</v>
      </c>
      <c r="BH20" s="14">
        <v>0.4454150853163766</v>
      </c>
      <c r="BI20" s="10">
        <v>24424</v>
      </c>
      <c r="BJ20" s="14">
        <v>0.6543603482920295</v>
      </c>
      <c r="BK20" s="56"/>
      <c r="BL20" s="55"/>
      <c r="BM20" s="56"/>
      <c r="BN20" s="9">
        <v>12045647.030000087</v>
      </c>
      <c r="BO20" s="14">
        <v>0.4621427273930429</v>
      </c>
      <c r="BP20" s="10">
        <v>21972</v>
      </c>
      <c r="BQ20" s="14">
        <v>0.6674362089914946</v>
      </c>
      <c r="BR20" s="56"/>
      <c r="BS20" s="55"/>
      <c r="BT20" s="56"/>
      <c r="BU20" s="9">
        <v>11448333.380000025</v>
      </c>
      <c r="BV20" s="14">
        <v>0.4725207475504827</v>
      </c>
      <c r="BW20" s="10">
        <v>20701</v>
      </c>
      <c r="BX20" s="14">
        <v>0.6758627444578668</v>
      </c>
      <c r="BY20" s="56"/>
      <c r="BZ20" s="55"/>
      <c r="CA20" s="56"/>
      <c r="CB20" s="9">
        <v>13033884.470000103</v>
      </c>
      <c r="CC20" s="14">
        <v>0.5128082193913243</v>
      </c>
      <c r="CD20" s="10">
        <v>21435</v>
      </c>
      <c r="CE20" s="14">
        <v>0.7045424664738364</v>
      </c>
      <c r="CF20" s="56"/>
      <c r="CG20" s="55"/>
      <c r="CH20" s="56"/>
      <c r="CI20" s="9">
        <v>9581714.460000059</v>
      </c>
      <c r="CJ20" s="14">
        <v>0.5110966804585552</v>
      </c>
      <c r="CK20" s="10">
        <v>16842</v>
      </c>
      <c r="CL20" s="14">
        <v>0.7079445145018916</v>
      </c>
      <c r="CM20" s="56"/>
      <c r="CN20" s="55"/>
      <c r="CO20" s="56"/>
      <c r="CP20" s="9">
        <v>8019397.869999978</v>
      </c>
      <c r="CQ20" s="14">
        <v>0.5601005946075552</v>
      </c>
      <c r="CR20" s="10">
        <v>13641</v>
      </c>
      <c r="CS20" s="14">
        <v>0.7316955425628923</v>
      </c>
      <c r="CT20" s="56"/>
      <c r="CU20" s="55"/>
      <c r="CV20" s="56"/>
      <c r="CW20" s="9">
        <v>8716144.539999992</v>
      </c>
      <c r="CX20" s="14">
        <v>0.5944016694313758</v>
      </c>
      <c r="CY20" s="10">
        <v>13180</v>
      </c>
      <c r="CZ20" s="14">
        <v>0.7488636363636364</v>
      </c>
      <c r="DA20" s="56"/>
      <c r="DB20" s="55"/>
      <c r="DC20" s="56"/>
    </row>
    <row r="21" spans="1:107" ht="12.75">
      <c r="A21" s="8" t="s">
        <v>27</v>
      </c>
      <c r="B21" s="8"/>
      <c r="C21" s="8"/>
      <c r="D21" s="9">
        <v>16624415.41</v>
      </c>
      <c r="E21" s="14">
        <f aca="true" t="shared" si="0" ref="E21:E29">+D21/$D$31</f>
        <v>0.27592213032719387</v>
      </c>
      <c r="F21" s="10">
        <v>15762</v>
      </c>
      <c r="G21" s="14">
        <f aca="true" t="shared" si="1" ref="G21:G29">+F21/$F$31</f>
        <v>0.20584279053974638</v>
      </c>
      <c r="H21" s="8"/>
      <c r="I21" s="8"/>
      <c r="J21" s="9">
        <v>12770503.53999999</v>
      </c>
      <c r="K21" s="14">
        <f>+J21/$J$31</f>
        <v>0.2989056970786315</v>
      </c>
      <c r="L21" s="10">
        <v>13309</v>
      </c>
      <c r="M21" s="14">
        <f>+L21/$L$31</f>
        <v>0.21805164165410576</v>
      </c>
      <c r="N21" s="56"/>
      <c r="O21" s="55"/>
      <c r="P21" s="56"/>
      <c r="Q21" s="9">
        <v>13702000.559999961</v>
      </c>
      <c r="R21" s="14">
        <v>0.2767977682354803</v>
      </c>
      <c r="S21" s="10">
        <v>13666</v>
      </c>
      <c r="T21" s="14">
        <f aca="true" t="shared" si="2" ref="T21:T29">+S21/$S$31</f>
        <v>0.20827554674998094</v>
      </c>
      <c r="U21" s="56"/>
      <c r="V21" s="55"/>
      <c r="W21" s="56"/>
      <c r="X21" s="9">
        <v>11851506.830000019</v>
      </c>
      <c r="Y21" s="14">
        <v>0.2673451862001729</v>
      </c>
      <c r="Z21" s="10">
        <v>11498</v>
      </c>
      <c r="AA21" s="14">
        <v>0.2004183371099878</v>
      </c>
      <c r="AB21" s="56"/>
      <c r="AC21" s="55"/>
      <c r="AD21" s="56"/>
      <c r="AE21" s="9">
        <v>10758554.479999991</v>
      </c>
      <c r="AF21" s="14">
        <v>0.28777205894807917</v>
      </c>
      <c r="AG21" s="10">
        <v>10511</v>
      </c>
      <c r="AH21" s="14">
        <v>0.2108990950861775</v>
      </c>
      <c r="AI21" s="56"/>
      <c r="AJ21" s="55"/>
      <c r="AK21" s="56"/>
      <c r="AL21" s="9">
        <v>10163993.259999972</v>
      </c>
      <c r="AM21" s="14">
        <v>0.2909987363717901</v>
      </c>
      <c r="AN21" s="10">
        <v>9737</v>
      </c>
      <c r="AO21" s="14">
        <v>0.20719225449515907</v>
      </c>
      <c r="AP21" s="56"/>
      <c r="AQ21" s="55"/>
      <c r="AR21" s="56"/>
      <c r="AS21" s="9">
        <v>9533793.390000025</v>
      </c>
      <c r="AT21" s="14">
        <v>0.29785543897758465</v>
      </c>
      <c r="AU21" s="10">
        <v>9147</v>
      </c>
      <c r="AV21" s="14">
        <v>0.21722197155002493</v>
      </c>
      <c r="AW21" s="56"/>
      <c r="AX21" s="55"/>
      <c r="AY21" s="56"/>
      <c r="AZ21" s="9">
        <v>10046744.319999997</v>
      </c>
      <c r="BA21" s="14">
        <v>0.28645080728472233</v>
      </c>
      <c r="BB21" s="10">
        <v>9142</v>
      </c>
      <c r="BC21" s="14">
        <v>0.21278279489805418</v>
      </c>
      <c r="BD21" s="56"/>
      <c r="BE21" s="55"/>
      <c r="BF21" s="56"/>
      <c r="BG21" s="9">
        <v>8564524.989999978</v>
      </c>
      <c r="BH21" s="14">
        <v>0.28934717233818485</v>
      </c>
      <c r="BI21" s="10">
        <v>7838</v>
      </c>
      <c r="BJ21" s="14">
        <v>0.20999330207635633</v>
      </c>
      <c r="BK21" s="56"/>
      <c r="BL21" s="55"/>
      <c r="BM21" s="56"/>
      <c r="BN21" s="9">
        <v>7418293.179999982</v>
      </c>
      <c r="BO21" s="14">
        <v>0.2846098872288122</v>
      </c>
      <c r="BP21" s="10">
        <v>6759</v>
      </c>
      <c r="BQ21" s="14">
        <v>0.20531591737545565</v>
      </c>
      <c r="BR21" s="56"/>
      <c r="BS21" s="55"/>
      <c r="BT21" s="56"/>
      <c r="BU21" s="9">
        <v>6842093.3799999785</v>
      </c>
      <c r="BV21" s="14">
        <v>0.2824018982864204</v>
      </c>
      <c r="BW21" s="10">
        <v>6190</v>
      </c>
      <c r="BX21" s="14">
        <v>0.20209605276045578</v>
      </c>
      <c r="BY21" s="56"/>
      <c r="BZ21" s="55"/>
      <c r="CA21" s="56"/>
      <c r="CB21" s="9">
        <v>6616309.230000013</v>
      </c>
      <c r="CC21" s="14">
        <v>0.2603136281427131</v>
      </c>
      <c r="CD21" s="10">
        <v>5535</v>
      </c>
      <c r="CE21" s="14">
        <v>0.18192874046805155</v>
      </c>
      <c r="CF21" s="56"/>
      <c r="CG21" s="55"/>
      <c r="CH21" s="56"/>
      <c r="CI21" s="9">
        <v>4788014.710000011</v>
      </c>
      <c r="CJ21" s="14">
        <v>0.25539671782994483</v>
      </c>
      <c r="CK21" s="10">
        <v>4271</v>
      </c>
      <c r="CL21" s="14">
        <v>0.17952921395544347</v>
      </c>
      <c r="CM21" s="56"/>
      <c r="CN21" s="55"/>
      <c r="CO21" s="56"/>
      <c r="CP21" s="9">
        <v>3172408.57</v>
      </c>
      <c r="CQ21" s="14">
        <v>0.22157123953685462</v>
      </c>
      <c r="CR21" s="10">
        <v>3008</v>
      </c>
      <c r="CS21" s="14">
        <v>0.16134742262511398</v>
      </c>
      <c r="CT21" s="56"/>
      <c r="CU21" s="55"/>
      <c r="CV21" s="56"/>
      <c r="CW21" s="9">
        <v>3352056.22</v>
      </c>
      <c r="CX21" s="14">
        <v>0.22859508628522943</v>
      </c>
      <c r="CY21" s="10">
        <v>2796</v>
      </c>
      <c r="CZ21" s="14">
        <v>0.15886363636363637</v>
      </c>
      <c r="DA21" s="56"/>
      <c r="DB21" s="55"/>
      <c r="DC21" s="56"/>
    </row>
    <row r="22" spans="1:107" ht="12.75">
      <c r="A22" s="8" t="s">
        <v>28</v>
      </c>
      <c r="B22" s="8"/>
      <c r="C22" s="8"/>
      <c r="D22" s="9">
        <v>13253666.26</v>
      </c>
      <c r="E22" s="14">
        <f t="shared" si="0"/>
        <v>0.21997644662470883</v>
      </c>
      <c r="F22" s="10">
        <v>10285</v>
      </c>
      <c r="G22" s="14">
        <f t="shared" si="1"/>
        <v>0.13431627336006163</v>
      </c>
      <c r="H22" s="8"/>
      <c r="I22" s="8"/>
      <c r="J22" s="9">
        <v>9544227.799999949</v>
      </c>
      <c r="K22" s="14">
        <f aca="true" t="shared" si="3" ref="K22:K29">+J22/$J$31</f>
        <v>0.22339166617045084</v>
      </c>
      <c r="L22" s="10">
        <v>7855</v>
      </c>
      <c r="M22" s="14">
        <f aca="true" t="shared" si="4" ref="M22:M29">+L22/$L$31</f>
        <v>0.12869454092666624</v>
      </c>
      <c r="N22" s="56"/>
      <c r="O22" s="55"/>
      <c r="P22" s="56"/>
      <c r="Q22" s="9">
        <v>12279911.59000004</v>
      </c>
      <c r="R22" s="14">
        <v>0.24806976961917662</v>
      </c>
      <c r="S22" s="10">
        <v>9325</v>
      </c>
      <c r="T22" s="14">
        <f t="shared" si="2"/>
        <v>0.14211689400289568</v>
      </c>
      <c r="U22" s="56"/>
      <c r="V22" s="55"/>
      <c r="W22" s="56"/>
      <c r="X22" s="9">
        <v>10850292.699999962</v>
      </c>
      <c r="Y22" s="14">
        <v>0.24475989119502214</v>
      </c>
      <c r="Z22" s="10">
        <v>8029</v>
      </c>
      <c r="AA22" s="14">
        <v>0.13995119400383477</v>
      </c>
      <c r="AB22" s="56"/>
      <c r="AC22" s="55"/>
      <c r="AD22" s="56"/>
      <c r="AE22" s="9">
        <v>8637117.329999968</v>
      </c>
      <c r="AF22" s="14">
        <v>0.2310274156301181</v>
      </c>
      <c r="AG22" s="10">
        <v>6245</v>
      </c>
      <c r="AH22" s="14">
        <v>0.12530347719657298</v>
      </c>
      <c r="AI22" s="56"/>
      <c r="AJ22" s="55"/>
      <c r="AK22" s="56"/>
      <c r="AL22" s="9">
        <v>7250733.710000014</v>
      </c>
      <c r="AM22" s="14">
        <v>0.20759108092702053</v>
      </c>
      <c r="AN22" s="10">
        <v>5175</v>
      </c>
      <c r="AO22" s="14">
        <v>0.11011809766996489</v>
      </c>
      <c r="AP22" s="56"/>
      <c r="AQ22" s="55"/>
      <c r="AR22" s="56"/>
      <c r="AS22" s="9">
        <v>6331823.050000001</v>
      </c>
      <c r="AT22" s="14">
        <v>0.1978192579738855</v>
      </c>
      <c r="AU22" s="10">
        <v>4489</v>
      </c>
      <c r="AV22" s="14">
        <v>0.10660428886936285</v>
      </c>
      <c r="AW22" s="56"/>
      <c r="AX22" s="55"/>
      <c r="AY22" s="56"/>
      <c r="AZ22" s="9">
        <v>5762689.339999993</v>
      </c>
      <c r="BA22" s="14">
        <v>0.16430467034857937</v>
      </c>
      <c r="BB22" s="10">
        <v>3994</v>
      </c>
      <c r="BC22" s="14">
        <v>0.09296154920398474</v>
      </c>
      <c r="BD22" s="56"/>
      <c r="BE22" s="55"/>
      <c r="BF22" s="56"/>
      <c r="BG22" s="9">
        <v>4484633.59</v>
      </c>
      <c r="BH22" s="14">
        <v>0.1515105682748842</v>
      </c>
      <c r="BI22" s="10">
        <v>3150</v>
      </c>
      <c r="BJ22" s="14">
        <v>0.08439383791024782</v>
      </c>
      <c r="BK22" s="56"/>
      <c r="BL22" s="55"/>
      <c r="BM22" s="56"/>
      <c r="BN22" s="9">
        <v>3709425.169999995</v>
      </c>
      <c r="BO22" s="14">
        <v>0.1423156316015834</v>
      </c>
      <c r="BP22" s="10">
        <v>2552</v>
      </c>
      <c r="BQ22" s="14">
        <v>0.07752126366950182</v>
      </c>
      <c r="BR22" s="56"/>
      <c r="BS22" s="55"/>
      <c r="BT22" s="56"/>
      <c r="BU22" s="9">
        <v>3440428.0900000073</v>
      </c>
      <c r="BV22" s="14">
        <v>0.14200090083160027</v>
      </c>
      <c r="BW22" s="10">
        <v>2321</v>
      </c>
      <c r="BX22" s="14">
        <v>0.07577785758594796</v>
      </c>
      <c r="BY22" s="56"/>
      <c r="BZ22" s="55"/>
      <c r="CA22" s="56"/>
      <c r="CB22" s="9">
        <v>3517635.51</v>
      </c>
      <c r="CC22" s="14">
        <v>0.13839867972611994</v>
      </c>
      <c r="CD22" s="10">
        <v>2229</v>
      </c>
      <c r="CE22" s="14">
        <v>0.0732645280042072</v>
      </c>
      <c r="CF22" s="56"/>
      <c r="CG22" s="55"/>
      <c r="CH22" s="56"/>
      <c r="CI22" s="9">
        <v>2748015.38</v>
      </c>
      <c r="CJ22" s="14">
        <v>0.14658144368946743</v>
      </c>
      <c r="CK22" s="10">
        <v>1790</v>
      </c>
      <c r="CL22" s="14">
        <v>0.07524169819251786</v>
      </c>
      <c r="CM22" s="56"/>
      <c r="CN22" s="55"/>
      <c r="CO22" s="56"/>
      <c r="CP22" s="9">
        <v>1957416.29</v>
      </c>
      <c r="CQ22" s="14">
        <v>0.13671226265314576</v>
      </c>
      <c r="CR22" s="10">
        <v>1356</v>
      </c>
      <c r="CS22" s="14">
        <v>0.07273507482701282</v>
      </c>
      <c r="CT22" s="56"/>
      <c r="CU22" s="55"/>
      <c r="CV22" s="56"/>
      <c r="CW22" s="9">
        <v>1693983.98</v>
      </c>
      <c r="CX22" s="14">
        <v>0.11552205233416281</v>
      </c>
      <c r="CY22" s="10">
        <v>1157</v>
      </c>
      <c r="CZ22" s="14">
        <v>0.06573863636363636</v>
      </c>
      <c r="DA22" s="56"/>
      <c r="DB22" s="55"/>
      <c r="DC22" s="56"/>
    </row>
    <row r="23" spans="1:107" ht="12.75">
      <c r="A23" s="8" t="s">
        <v>29</v>
      </c>
      <c r="B23" s="8"/>
      <c r="C23" s="8"/>
      <c r="D23" s="9">
        <v>5487557.81</v>
      </c>
      <c r="E23" s="14">
        <f t="shared" si="0"/>
        <v>0.09107921114134566</v>
      </c>
      <c r="F23" s="10">
        <v>3752</v>
      </c>
      <c r="G23" s="14">
        <f t="shared" si="1"/>
        <v>0.048998994423621905</v>
      </c>
      <c r="H23" s="8"/>
      <c r="I23" s="8"/>
      <c r="J23" s="9">
        <v>3966486.45</v>
      </c>
      <c r="K23" s="14">
        <f t="shared" si="3"/>
        <v>0.09283936170383751</v>
      </c>
      <c r="L23" s="10">
        <v>2434</v>
      </c>
      <c r="M23" s="14">
        <f t="shared" si="4"/>
        <v>0.03987810472508028</v>
      </c>
      <c r="N23" s="56"/>
      <c r="O23" s="55"/>
      <c r="P23" s="56"/>
      <c r="Q23" s="9">
        <v>4133132.369999991</v>
      </c>
      <c r="R23" s="14">
        <v>0.08349450949357004</v>
      </c>
      <c r="S23" s="10">
        <v>2474</v>
      </c>
      <c r="T23" s="14">
        <f t="shared" si="2"/>
        <v>0.03770479311133125</v>
      </c>
      <c r="U23" s="56"/>
      <c r="V23" s="55"/>
      <c r="W23" s="56"/>
      <c r="X23" s="9">
        <v>3667282.879999992</v>
      </c>
      <c r="Y23" s="14">
        <v>0.08272622532018593</v>
      </c>
      <c r="Z23" s="10">
        <v>2154</v>
      </c>
      <c r="AA23" s="14">
        <v>0.037545755621404914</v>
      </c>
      <c r="AB23" s="56"/>
      <c r="AC23" s="55"/>
      <c r="AD23" s="56"/>
      <c r="AE23" s="9">
        <v>2876047.36</v>
      </c>
      <c r="AF23" s="14">
        <v>0.07692911459043775</v>
      </c>
      <c r="AG23" s="10">
        <v>1701</v>
      </c>
      <c r="AH23" s="14">
        <v>0.034129898272437245</v>
      </c>
      <c r="AI23" s="56"/>
      <c r="AJ23" s="55"/>
      <c r="AK23" s="56"/>
      <c r="AL23" s="9">
        <v>2482333.41</v>
      </c>
      <c r="AM23" s="14">
        <v>0.07107008703028984</v>
      </c>
      <c r="AN23" s="10">
        <v>1488</v>
      </c>
      <c r="AO23" s="14">
        <v>0.03166294286626237</v>
      </c>
      <c r="AP23" s="56"/>
      <c r="AQ23" s="55"/>
      <c r="AR23" s="56"/>
      <c r="AS23" s="9">
        <v>2372740.53</v>
      </c>
      <c r="AT23" s="14">
        <v>0.07412932536217415</v>
      </c>
      <c r="AU23" s="10">
        <v>1415</v>
      </c>
      <c r="AV23" s="14">
        <v>0.03360326770999074</v>
      </c>
      <c r="AW23" s="56"/>
      <c r="AX23" s="55"/>
      <c r="AY23" s="56"/>
      <c r="AZ23" s="9">
        <v>2466008.45</v>
      </c>
      <c r="BA23" s="14">
        <v>0.07031035017654821</v>
      </c>
      <c r="BB23" s="10">
        <v>1472</v>
      </c>
      <c r="BC23" s="14">
        <v>0.034261241970021415</v>
      </c>
      <c r="BD23" s="56"/>
      <c r="BE23" s="55"/>
      <c r="BF23" s="56"/>
      <c r="BG23" s="9">
        <v>2227909.46</v>
      </c>
      <c r="BH23" s="14">
        <v>0.07526854124766753</v>
      </c>
      <c r="BI23" s="10">
        <v>1320</v>
      </c>
      <c r="BJ23" s="14">
        <v>0.03536503683858004</v>
      </c>
      <c r="BK23" s="56"/>
      <c r="BL23" s="55"/>
      <c r="BM23" s="56"/>
      <c r="BN23" s="9">
        <v>2052278.2900000052</v>
      </c>
      <c r="BO23" s="14">
        <v>0.07873761234643498</v>
      </c>
      <c r="BP23" s="10">
        <v>1206</v>
      </c>
      <c r="BQ23" s="14">
        <v>0.036634264884568654</v>
      </c>
      <c r="BR23" s="56"/>
      <c r="BS23" s="55"/>
      <c r="BT23" s="56"/>
      <c r="BU23" s="9">
        <v>1951379.33</v>
      </c>
      <c r="BV23" s="14">
        <v>0.08054161153072202</v>
      </c>
      <c r="BW23" s="10">
        <v>1144</v>
      </c>
      <c r="BX23" s="14">
        <v>0.03735022364425871</v>
      </c>
      <c r="BY23" s="56"/>
      <c r="BZ23" s="55"/>
      <c r="CA23" s="56"/>
      <c r="CB23" s="9">
        <v>1599762.49</v>
      </c>
      <c r="CC23" s="14">
        <v>0.06294143206763632</v>
      </c>
      <c r="CD23" s="10">
        <v>922</v>
      </c>
      <c r="CE23" s="14">
        <v>0.030305022350775705</v>
      </c>
      <c r="CF23" s="56"/>
      <c r="CG23" s="55"/>
      <c r="CH23" s="56"/>
      <c r="CI23" s="9">
        <v>1140428.98</v>
      </c>
      <c r="CJ23" s="14">
        <v>0.06083143767328801</v>
      </c>
      <c r="CK23" s="10">
        <v>658</v>
      </c>
      <c r="CL23" s="14">
        <v>0.02765868011769651</v>
      </c>
      <c r="CM23" s="56"/>
      <c r="CN23" s="55"/>
      <c r="CO23" s="56"/>
      <c r="CP23" s="9">
        <v>853391.6399999987</v>
      </c>
      <c r="CQ23" s="14">
        <v>0.059603622709034805</v>
      </c>
      <c r="CR23" s="10">
        <v>491</v>
      </c>
      <c r="CS23" s="14">
        <v>0.02633696293514992</v>
      </c>
      <c r="CT23" s="56"/>
      <c r="CU23" s="55"/>
      <c r="CV23" s="56"/>
      <c r="CW23" s="9">
        <v>702454.36</v>
      </c>
      <c r="CX23" s="14">
        <v>0.04790421296562725</v>
      </c>
      <c r="CY23" s="10">
        <v>384</v>
      </c>
      <c r="CZ23" s="14">
        <v>0.02181818181818182</v>
      </c>
      <c r="DA23" s="56"/>
      <c r="DB23" s="55"/>
      <c r="DC23" s="56"/>
    </row>
    <row r="24" spans="1:107" ht="12.75">
      <c r="A24" s="8" t="s">
        <v>30</v>
      </c>
      <c r="B24" s="8"/>
      <c r="C24" s="8"/>
      <c r="D24" s="9">
        <v>1850994.17</v>
      </c>
      <c r="E24" s="14">
        <f t="shared" si="0"/>
        <v>0.030721697095129074</v>
      </c>
      <c r="F24" s="10">
        <v>993</v>
      </c>
      <c r="G24" s="14">
        <f t="shared" si="1"/>
        <v>0.012968017447403132</v>
      </c>
      <c r="H24" s="8"/>
      <c r="I24" s="8"/>
      <c r="J24" s="9">
        <v>1294498.36</v>
      </c>
      <c r="K24" s="14">
        <f t="shared" si="3"/>
        <v>0.030298956767913447</v>
      </c>
      <c r="L24" s="10">
        <v>706</v>
      </c>
      <c r="M24" s="14">
        <f t="shared" si="4"/>
        <v>0.011566944098564782</v>
      </c>
      <c r="N24" s="56"/>
      <c r="O24" s="55"/>
      <c r="P24" s="56"/>
      <c r="Q24" s="9">
        <v>1571785.96</v>
      </c>
      <c r="R24" s="14">
        <v>0.03175206744203066</v>
      </c>
      <c r="S24" s="10">
        <v>858</v>
      </c>
      <c r="T24" s="14">
        <f t="shared" si="2"/>
        <v>0.013076278290025146</v>
      </c>
      <c r="U24" s="56"/>
      <c r="V24" s="55"/>
      <c r="W24" s="56"/>
      <c r="X24" s="9">
        <v>1372911.96</v>
      </c>
      <c r="Y24" s="14">
        <v>0.030970020002312575</v>
      </c>
      <c r="Z24" s="10">
        <v>764</v>
      </c>
      <c r="AA24" s="14">
        <v>0.013317064667944918</v>
      </c>
      <c r="AB24" s="56"/>
      <c r="AC24" s="55"/>
      <c r="AD24" s="56"/>
      <c r="AE24" s="9">
        <v>1192009.95</v>
      </c>
      <c r="AF24" s="14">
        <v>0.03188413073854668</v>
      </c>
      <c r="AG24" s="10">
        <v>668</v>
      </c>
      <c r="AH24" s="14">
        <v>0.013403158169305162</v>
      </c>
      <c r="AI24" s="56"/>
      <c r="AJ24" s="55"/>
      <c r="AK24" s="56"/>
      <c r="AL24" s="9">
        <v>1357045.89</v>
      </c>
      <c r="AM24" s="14">
        <v>0.038852705731579035</v>
      </c>
      <c r="AN24" s="10">
        <v>719</v>
      </c>
      <c r="AO24" s="14">
        <v>0.01529949994680285</v>
      </c>
      <c r="AP24" s="56"/>
      <c r="AQ24" s="55"/>
      <c r="AR24" s="56"/>
      <c r="AS24" s="9">
        <v>1355216.97</v>
      </c>
      <c r="AT24" s="14">
        <v>0.04233978323178459</v>
      </c>
      <c r="AU24" s="10">
        <v>712</v>
      </c>
      <c r="AV24" s="14">
        <v>0.01690849937068085</v>
      </c>
      <c r="AW24" s="56"/>
      <c r="AX24" s="55"/>
      <c r="AY24" s="56"/>
      <c r="AZ24" s="9">
        <v>1575652.53</v>
      </c>
      <c r="BA24" s="14">
        <v>0.044924696483040906</v>
      </c>
      <c r="BB24" s="10">
        <v>810</v>
      </c>
      <c r="BC24" s="14">
        <v>0.018852993203612327</v>
      </c>
      <c r="BD24" s="56"/>
      <c r="BE24" s="55"/>
      <c r="BF24" s="56"/>
      <c r="BG24" s="9">
        <v>1138355.42</v>
      </c>
      <c r="BH24" s="14">
        <v>0.03845863282288676</v>
      </c>
      <c r="BI24" s="10">
        <v>593</v>
      </c>
      <c r="BJ24" s="14">
        <v>0.015887474882786336</v>
      </c>
      <c r="BK24" s="56"/>
      <c r="BL24" s="55"/>
      <c r="BM24" s="56"/>
      <c r="BN24" s="9">
        <v>839133.11</v>
      </c>
      <c r="BO24" s="14">
        <v>0.03219414143012651</v>
      </c>
      <c r="BP24" s="10">
        <v>431</v>
      </c>
      <c r="BQ24" s="14">
        <v>0.013092345078979344</v>
      </c>
      <c r="BR24" s="56"/>
      <c r="BS24" s="55"/>
      <c r="BT24" s="56"/>
      <c r="BU24" s="9">
        <v>545978.9499999995</v>
      </c>
      <c r="BV24" s="14">
        <v>0.022534841800774568</v>
      </c>
      <c r="BW24" s="10">
        <v>273</v>
      </c>
      <c r="BX24" s="14">
        <v>0.008913121551470829</v>
      </c>
      <c r="BY24" s="56"/>
      <c r="BZ24" s="55"/>
      <c r="CA24" s="56"/>
      <c r="CB24" s="9">
        <v>649092.31</v>
      </c>
      <c r="CC24" s="14">
        <v>0.02553804067220635</v>
      </c>
      <c r="CD24" s="10">
        <v>303</v>
      </c>
      <c r="CE24" s="14">
        <v>0.009959242703129109</v>
      </c>
      <c r="CF24" s="56"/>
      <c r="CG24" s="55"/>
      <c r="CH24" s="56"/>
      <c r="CI24" s="9">
        <v>489188.42</v>
      </c>
      <c r="CJ24" s="14">
        <v>0.026093720348744753</v>
      </c>
      <c r="CK24" s="10">
        <v>229</v>
      </c>
      <c r="CL24" s="14">
        <v>0.009625893232450609</v>
      </c>
      <c r="CM24" s="56"/>
      <c r="CN24" s="55"/>
      <c r="CO24" s="56"/>
      <c r="CP24" s="9">
        <v>315167.02</v>
      </c>
      <c r="CQ24" s="14">
        <v>0.022012280493409624</v>
      </c>
      <c r="CR24" s="10">
        <v>147</v>
      </c>
      <c r="CS24" s="14">
        <v>0.007884997049831036</v>
      </c>
      <c r="CT24" s="56"/>
      <c r="CU24" s="55"/>
      <c r="CV24" s="56"/>
      <c r="CW24" s="9">
        <v>199089.13</v>
      </c>
      <c r="CX24" s="14">
        <v>0.013576978983604637</v>
      </c>
      <c r="CY24" s="10">
        <v>83</v>
      </c>
      <c r="CZ24" s="14">
        <v>0.004715909090909091</v>
      </c>
      <c r="DA24" s="56"/>
      <c r="DB24" s="55"/>
      <c r="DC24" s="56"/>
    </row>
    <row r="25" spans="1:107" ht="12.75">
      <c r="A25" s="8" t="s">
        <v>83</v>
      </c>
      <c r="B25" s="8"/>
      <c r="C25" s="8"/>
      <c r="D25" s="9">
        <v>0</v>
      </c>
      <c r="E25" s="14">
        <f t="shared" si="0"/>
        <v>0</v>
      </c>
      <c r="F25" s="10">
        <v>0</v>
      </c>
      <c r="G25" s="14">
        <f t="shared" si="1"/>
        <v>0</v>
      </c>
      <c r="H25" s="8"/>
      <c r="I25" s="8"/>
      <c r="J25" s="9">
        <v>0</v>
      </c>
      <c r="K25" s="14">
        <f t="shared" si="3"/>
        <v>0</v>
      </c>
      <c r="L25" s="10">
        <v>0</v>
      </c>
      <c r="M25" s="14">
        <f t="shared" si="4"/>
        <v>0</v>
      </c>
      <c r="N25" s="56"/>
      <c r="O25" s="55"/>
      <c r="P25" s="56"/>
      <c r="Q25" s="9">
        <v>0</v>
      </c>
      <c r="R25" s="14">
        <v>0</v>
      </c>
      <c r="S25" s="10">
        <v>0</v>
      </c>
      <c r="T25" s="14">
        <f t="shared" si="2"/>
        <v>0</v>
      </c>
      <c r="U25" s="56"/>
      <c r="V25" s="55"/>
      <c r="W25" s="56"/>
      <c r="X25" s="9">
        <v>0</v>
      </c>
      <c r="Y25" s="14">
        <v>0</v>
      </c>
      <c r="Z25" s="10">
        <v>0</v>
      </c>
      <c r="AA25" s="14">
        <v>0</v>
      </c>
      <c r="AB25" s="56"/>
      <c r="AC25" s="55"/>
      <c r="AD25" s="56"/>
      <c r="AE25" s="9">
        <v>0</v>
      </c>
      <c r="AF25" s="14">
        <v>0</v>
      </c>
      <c r="AG25" s="10">
        <v>0</v>
      </c>
      <c r="AH25" s="14">
        <v>0</v>
      </c>
      <c r="AI25" s="56"/>
      <c r="AJ25" s="55"/>
      <c r="AK25" s="56"/>
      <c r="AL25" s="9">
        <v>0</v>
      </c>
      <c r="AM25" s="14">
        <v>0</v>
      </c>
      <c r="AN25" s="10">
        <v>0</v>
      </c>
      <c r="AO25" s="14">
        <v>0</v>
      </c>
      <c r="AP25" s="56"/>
      <c r="AQ25" s="55"/>
      <c r="AR25" s="56"/>
      <c r="AS25" s="9">
        <v>0</v>
      </c>
      <c r="AT25" s="14">
        <v>0</v>
      </c>
      <c r="AU25" s="10">
        <v>0</v>
      </c>
      <c r="AV25" s="14">
        <v>0</v>
      </c>
      <c r="AW25" s="56"/>
      <c r="AX25" s="55"/>
      <c r="AY25" s="56"/>
      <c r="AZ25" s="9">
        <v>0</v>
      </c>
      <c r="BA25" s="14">
        <v>0</v>
      </c>
      <c r="BB25" s="10">
        <v>0</v>
      </c>
      <c r="BC25" s="14">
        <v>0</v>
      </c>
      <c r="BD25" s="56"/>
      <c r="BE25" s="55"/>
      <c r="BF25" s="56"/>
      <c r="BG25" s="9">
        <v>0</v>
      </c>
      <c r="BH25" s="14">
        <v>0</v>
      </c>
      <c r="BI25" s="10">
        <v>0</v>
      </c>
      <c r="BJ25" s="14">
        <v>0</v>
      </c>
      <c r="BK25" s="56"/>
      <c r="BL25" s="55"/>
      <c r="BM25" s="56"/>
      <c r="BN25" s="9">
        <v>0</v>
      </c>
      <c r="BO25" s="14">
        <v>0</v>
      </c>
      <c r="BP25" s="10">
        <v>0</v>
      </c>
      <c r="BQ25" s="14">
        <v>0</v>
      </c>
      <c r="BR25" s="56"/>
      <c r="BS25" s="55"/>
      <c r="BT25" s="56"/>
      <c r="BU25" s="9">
        <v>0</v>
      </c>
      <c r="BV25" s="14">
        <v>0</v>
      </c>
      <c r="BW25" s="10">
        <v>0</v>
      </c>
      <c r="BX25" s="14">
        <v>0</v>
      </c>
      <c r="BY25" s="56"/>
      <c r="BZ25" s="55"/>
      <c r="CA25" s="56"/>
      <c r="CB25" s="9">
        <v>0</v>
      </c>
      <c r="CC25" s="14">
        <v>0</v>
      </c>
      <c r="CD25" s="10">
        <v>0</v>
      </c>
      <c r="CE25" s="14">
        <v>0</v>
      </c>
      <c r="CF25" s="56"/>
      <c r="CG25" s="55"/>
      <c r="CH25" s="56"/>
      <c r="CI25" s="9">
        <v>0</v>
      </c>
      <c r="CJ25" s="14">
        <v>0</v>
      </c>
      <c r="CK25" s="10">
        <v>0</v>
      </c>
      <c r="CL25" s="14">
        <v>0</v>
      </c>
      <c r="CM25" s="56"/>
      <c r="CN25" s="55"/>
      <c r="CO25" s="56"/>
      <c r="CP25" s="9">
        <v>0</v>
      </c>
      <c r="CQ25" s="14">
        <v>0</v>
      </c>
      <c r="CR25" s="10">
        <v>0</v>
      </c>
      <c r="CS25" s="14">
        <v>0</v>
      </c>
      <c r="CT25" s="56"/>
      <c r="CU25" s="55"/>
      <c r="CV25" s="56"/>
      <c r="CW25" s="9">
        <v>0</v>
      </c>
      <c r="CX25" s="14">
        <v>0</v>
      </c>
      <c r="CY25" s="10">
        <v>0</v>
      </c>
      <c r="CZ25" s="14">
        <v>0</v>
      </c>
      <c r="DA25" s="56"/>
      <c r="DB25" s="55"/>
      <c r="DC25" s="56"/>
    </row>
    <row r="26" spans="1:107" ht="12.75">
      <c r="A26" s="8" t="s">
        <v>84</v>
      </c>
      <c r="B26" s="8"/>
      <c r="C26" s="8"/>
      <c r="D26" s="9">
        <v>0</v>
      </c>
      <c r="E26" s="14">
        <f t="shared" si="0"/>
        <v>0</v>
      </c>
      <c r="F26" s="10">
        <v>0</v>
      </c>
      <c r="G26" s="14">
        <f t="shared" si="1"/>
        <v>0</v>
      </c>
      <c r="H26" s="8"/>
      <c r="I26" s="8"/>
      <c r="J26" s="9">
        <v>0</v>
      </c>
      <c r="K26" s="14">
        <f t="shared" si="3"/>
        <v>0</v>
      </c>
      <c r="L26" s="10">
        <v>0</v>
      </c>
      <c r="M26" s="14">
        <f t="shared" si="4"/>
        <v>0</v>
      </c>
      <c r="N26" s="56"/>
      <c r="O26" s="55"/>
      <c r="P26" s="56"/>
      <c r="Q26" s="9">
        <v>0</v>
      </c>
      <c r="R26" s="14">
        <v>0</v>
      </c>
      <c r="S26" s="10">
        <v>0</v>
      </c>
      <c r="T26" s="14">
        <f t="shared" si="2"/>
        <v>0</v>
      </c>
      <c r="U26" s="56"/>
      <c r="V26" s="55"/>
      <c r="W26" s="56"/>
      <c r="X26" s="9">
        <v>0</v>
      </c>
      <c r="Y26" s="14">
        <v>0</v>
      </c>
      <c r="Z26" s="10">
        <v>0</v>
      </c>
      <c r="AA26" s="14">
        <v>0</v>
      </c>
      <c r="AB26" s="56"/>
      <c r="AC26" s="55"/>
      <c r="AD26" s="56"/>
      <c r="AE26" s="9">
        <v>0</v>
      </c>
      <c r="AF26" s="14">
        <v>0</v>
      </c>
      <c r="AG26" s="10">
        <v>0</v>
      </c>
      <c r="AH26" s="14">
        <v>0</v>
      </c>
      <c r="AI26" s="56"/>
      <c r="AJ26" s="55"/>
      <c r="AK26" s="56"/>
      <c r="AL26" s="9">
        <v>0</v>
      </c>
      <c r="AM26" s="14">
        <v>0</v>
      </c>
      <c r="AN26" s="10">
        <v>0</v>
      </c>
      <c r="AO26" s="14">
        <v>0</v>
      </c>
      <c r="AP26" s="56"/>
      <c r="AQ26" s="55"/>
      <c r="AR26" s="56"/>
      <c r="AS26" s="9">
        <v>0</v>
      </c>
      <c r="AT26" s="14">
        <v>0</v>
      </c>
      <c r="AU26" s="10">
        <v>0</v>
      </c>
      <c r="AV26" s="14">
        <v>0</v>
      </c>
      <c r="AW26" s="56"/>
      <c r="AX26" s="55"/>
      <c r="AY26" s="56"/>
      <c r="AZ26" s="9">
        <v>0</v>
      </c>
      <c r="BA26" s="14">
        <v>0</v>
      </c>
      <c r="BB26" s="10">
        <v>0</v>
      </c>
      <c r="BC26" s="14">
        <v>0</v>
      </c>
      <c r="BD26" s="56"/>
      <c r="BE26" s="55"/>
      <c r="BF26" s="56"/>
      <c r="BG26" s="9">
        <v>0</v>
      </c>
      <c r="BH26" s="14">
        <v>0</v>
      </c>
      <c r="BI26" s="10">
        <v>0</v>
      </c>
      <c r="BJ26" s="14">
        <v>0</v>
      </c>
      <c r="BK26" s="56"/>
      <c r="BL26" s="55"/>
      <c r="BM26" s="56"/>
      <c r="BN26" s="9">
        <v>0</v>
      </c>
      <c r="BO26" s="14">
        <v>0</v>
      </c>
      <c r="BP26" s="10">
        <v>0</v>
      </c>
      <c r="BQ26" s="14">
        <v>0</v>
      </c>
      <c r="BR26" s="56"/>
      <c r="BS26" s="55"/>
      <c r="BT26" s="56"/>
      <c r="BU26" s="9">
        <v>0</v>
      </c>
      <c r="BV26" s="14">
        <v>0</v>
      </c>
      <c r="BW26" s="10">
        <v>0</v>
      </c>
      <c r="BX26" s="14">
        <v>0</v>
      </c>
      <c r="BY26" s="56"/>
      <c r="BZ26" s="55"/>
      <c r="CA26" s="56"/>
      <c r="CB26" s="9">
        <v>0</v>
      </c>
      <c r="CC26" s="14">
        <v>0</v>
      </c>
      <c r="CD26" s="10">
        <v>0</v>
      </c>
      <c r="CE26" s="14">
        <v>0</v>
      </c>
      <c r="CF26" s="56"/>
      <c r="CG26" s="55"/>
      <c r="CH26" s="56"/>
      <c r="CI26" s="9">
        <v>0</v>
      </c>
      <c r="CJ26" s="14">
        <v>0</v>
      </c>
      <c r="CK26" s="10">
        <v>0</v>
      </c>
      <c r="CL26" s="14">
        <v>0</v>
      </c>
      <c r="CM26" s="56"/>
      <c r="CN26" s="55"/>
      <c r="CO26" s="56"/>
      <c r="CP26" s="9">
        <v>0</v>
      </c>
      <c r="CQ26" s="14">
        <v>0</v>
      </c>
      <c r="CR26" s="10">
        <v>0</v>
      </c>
      <c r="CS26" s="14">
        <v>0</v>
      </c>
      <c r="CT26" s="56"/>
      <c r="CU26" s="55"/>
      <c r="CV26" s="56"/>
      <c r="CW26" s="9">
        <v>0</v>
      </c>
      <c r="CX26" s="14">
        <v>0</v>
      </c>
      <c r="CY26" s="10">
        <v>0</v>
      </c>
      <c r="CZ26" s="14">
        <v>0</v>
      </c>
      <c r="DA26" s="56"/>
      <c r="DB26" s="55"/>
      <c r="DC26" s="56"/>
    </row>
    <row r="27" spans="1:107" ht="12.75">
      <c r="A27" s="8" t="s">
        <v>85</v>
      </c>
      <c r="B27" s="8"/>
      <c r="C27" s="8"/>
      <c r="D27" s="9">
        <v>0</v>
      </c>
      <c r="E27" s="14">
        <f t="shared" si="0"/>
        <v>0</v>
      </c>
      <c r="F27" s="10">
        <v>0</v>
      </c>
      <c r="G27" s="14">
        <f t="shared" si="1"/>
        <v>0</v>
      </c>
      <c r="H27" s="8"/>
      <c r="I27" s="8"/>
      <c r="J27" s="9">
        <v>0</v>
      </c>
      <c r="K27" s="14">
        <f t="shared" si="3"/>
        <v>0</v>
      </c>
      <c r="L27" s="10">
        <v>0</v>
      </c>
      <c r="M27" s="14">
        <f t="shared" si="4"/>
        <v>0</v>
      </c>
      <c r="N27" s="56"/>
      <c r="O27" s="55"/>
      <c r="P27" s="56"/>
      <c r="Q27" s="9">
        <v>0</v>
      </c>
      <c r="R27" s="14">
        <v>0</v>
      </c>
      <c r="S27" s="10">
        <v>0</v>
      </c>
      <c r="T27" s="14">
        <f t="shared" si="2"/>
        <v>0</v>
      </c>
      <c r="U27" s="56"/>
      <c r="V27" s="55"/>
      <c r="W27" s="56"/>
      <c r="X27" s="9">
        <v>0</v>
      </c>
      <c r="Y27" s="14">
        <v>0</v>
      </c>
      <c r="Z27" s="10">
        <v>0</v>
      </c>
      <c r="AA27" s="14">
        <v>0</v>
      </c>
      <c r="AB27" s="56"/>
      <c r="AC27" s="55"/>
      <c r="AD27" s="56"/>
      <c r="AE27" s="9">
        <v>0</v>
      </c>
      <c r="AF27" s="14">
        <v>0</v>
      </c>
      <c r="AG27" s="10">
        <v>0</v>
      </c>
      <c r="AH27" s="14">
        <v>0</v>
      </c>
      <c r="AI27" s="56"/>
      <c r="AJ27" s="55"/>
      <c r="AK27" s="56"/>
      <c r="AL27" s="9">
        <v>0</v>
      </c>
      <c r="AM27" s="14">
        <v>0</v>
      </c>
      <c r="AN27" s="10">
        <v>0</v>
      </c>
      <c r="AO27" s="14">
        <v>0</v>
      </c>
      <c r="AP27" s="56"/>
      <c r="AQ27" s="55"/>
      <c r="AR27" s="56"/>
      <c r="AS27" s="9">
        <v>0</v>
      </c>
      <c r="AT27" s="14">
        <v>0</v>
      </c>
      <c r="AU27" s="10">
        <v>0</v>
      </c>
      <c r="AV27" s="14">
        <v>0</v>
      </c>
      <c r="AW27" s="56"/>
      <c r="AX27" s="55"/>
      <c r="AY27" s="56"/>
      <c r="AZ27" s="9">
        <v>0</v>
      </c>
      <c r="BA27" s="14">
        <v>0</v>
      </c>
      <c r="BB27" s="10">
        <v>0</v>
      </c>
      <c r="BC27" s="14">
        <v>0</v>
      </c>
      <c r="BD27" s="56"/>
      <c r="BE27" s="55"/>
      <c r="BF27" s="56"/>
      <c r="BG27" s="9">
        <v>0</v>
      </c>
      <c r="BH27" s="14">
        <v>0</v>
      </c>
      <c r="BI27" s="10">
        <v>0</v>
      </c>
      <c r="BJ27" s="14">
        <v>0</v>
      </c>
      <c r="BK27" s="56"/>
      <c r="BL27" s="55"/>
      <c r="BM27" s="56"/>
      <c r="BN27" s="9">
        <v>0</v>
      </c>
      <c r="BO27" s="14">
        <v>0</v>
      </c>
      <c r="BP27" s="10">
        <v>0</v>
      </c>
      <c r="BQ27" s="14">
        <v>0</v>
      </c>
      <c r="BR27" s="56"/>
      <c r="BS27" s="55"/>
      <c r="BT27" s="56"/>
      <c r="BU27" s="9">
        <v>0</v>
      </c>
      <c r="BV27" s="14">
        <v>0</v>
      </c>
      <c r="BW27" s="10">
        <v>0</v>
      </c>
      <c r="BX27" s="14">
        <v>0</v>
      </c>
      <c r="BY27" s="56"/>
      <c r="BZ27" s="55"/>
      <c r="CA27" s="56"/>
      <c r="CB27" s="9">
        <v>0</v>
      </c>
      <c r="CC27" s="14">
        <v>0</v>
      </c>
      <c r="CD27" s="10">
        <v>0</v>
      </c>
      <c r="CE27" s="14">
        <v>0</v>
      </c>
      <c r="CF27" s="56"/>
      <c r="CG27" s="55"/>
      <c r="CH27" s="56"/>
      <c r="CI27" s="9">
        <v>0</v>
      </c>
      <c r="CJ27" s="14">
        <v>0</v>
      </c>
      <c r="CK27" s="10">
        <v>0</v>
      </c>
      <c r="CL27" s="14">
        <v>0</v>
      </c>
      <c r="CM27" s="56"/>
      <c r="CN27" s="55"/>
      <c r="CO27" s="56"/>
      <c r="CP27" s="9">
        <v>0</v>
      </c>
      <c r="CQ27" s="14">
        <v>0</v>
      </c>
      <c r="CR27" s="10">
        <v>0</v>
      </c>
      <c r="CS27" s="14">
        <v>0</v>
      </c>
      <c r="CT27" s="56"/>
      <c r="CU27" s="55"/>
      <c r="CV27" s="56"/>
      <c r="CW27" s="9">
        <v>0</v>
      </c>
      <c r="CX27" s="14">
        <v>0</v>
      </c>
      <c r="CY27" s="10">
        <v>0</v>
      </c>
      <c r="CZ27" s="14">
        <v>0</v>
      </c>
      <c r="DA27" s="56"/>
      <c r="DB27" s="55"/>
      <c r="DC27" s="56"/>
    </row>
    <row r="28" spans="1:107" ht="12.75">
      <c r="A28" s="8" t="s">
        <v>86</v>
      </c>
      <c r="B28" s="8"/>
      <c r="C28" s="8"/>
      <c r="D28" s="9">
        <v>0</v>
      </c>
      <c r="E28" s="14">
        <f t="shared" si="0"/>
        <v>0</v>
      </c>
      <c r="F28" s="10">
        <v>0</v>
      </c>
      <c r="G28" s="14">
        <f t="shared" si="1"/>
        <v>0</v>
      </c>
      <c r="H28" s="8"/>
      <c r="I28" s="8"/>
      <c r="J28" s="9">
        <v>0</v>
      </c>
      <c r="K28" s="14">
        <f t="shared" si="3"/>
        <v>0</v>
      </c>
      <c r="L28" s="10">
        <v>0</v>
      </c>
      <c r="M28" s="14">
        <f t="shared" si="4"/>
        <v>0</v>
      </c>
      <c r="N28" s="56"/>
      <c r="O28" s="55"/>
      <c r="P28" s="56"/>
      <c r="Q28" s="9">
        <v>0</v>
      </c>
      <c r="R28" s="14">
        <v>0</v>
      </c>
      <c r="S28" s="10">
        <v>0</v>
      </c>
      <c r="T28" s="14">
        <f t="shared" si="2"/>
        <v>0</v>
      </c>
      <c r="U28" s="56"/>
      <c r="V28" s="55"/>
      <c r="W28" s="56"/>
      <c r="X28" s="9">
        <v>0</v>
      </c>
      <c r="Y28" s="14">
        <v>0</v>
      </c>
      <c r="Z28" s="10">
        <v>0</v>
      </c>
      <c r="AA28" s="14">
        <v>0</v>
      </c>
      <c r="AB28" s="56"/>
      <c r="AC28" s="55"/>
      <c r="AD28" s="56"/>
      <c r="AE28" s="9">
        <v>0</v>
      </c>
      <c r="AF28" s="14">
        <v>0</v>
      </c>
      <c r="AG28" s="10">
        <v>0</v>
      </c>
      <c r="AH28" s="14">
        <v>0</v>
      </c>
      <c r="AI28" s="56"/>
      <c r="AJ28" s="55"/>
      <c r="AK28" s="56"/>
      <c r="AL28" s="9">
        <v>0</v>
      </c>
      <c r="AM28" s="14">
        <v>0</v>
      </c>
      <c r="AN28" s="10">
        <v>0</v>
      </c>
      <c r="AO28" s="14">
        <v>0</v>
      </c>
      <c r="AP28" s="56"/>
      <c r="AQ28" s="55"/>
      <c r="AR28" s="56"/>
      <c r="AS28" s="9">
        <v>0</v>
      </c>
      <c r="AT28" s="14">
        <v>0</v>
      </c>
      <c r="AU28" s="10">
        <v>0</v>
      </c>
      <c r="AV28" s="14">
        <v>0</v>
      </c>
      <c r="AW28" s="56"/>
      <c r="AX28" s="55"/>
      <c r="AY28" s="56"/>
      <c r="AZ28" s="9">
        <v>0</v>
      </c>
      <c r="BA28" s="14">
        <v>0</v>
      </c>
      <c r="BB28" s="10">
        <v>0</v>
      </c>
      <c r="BC28" s="14">
        <v>0</v>
      </c>
      <c r="BD28" s="56"/>
      <c r="BE28" s="55"/>
      <c r="BF28" s="56"/>
      <c r="BG28" s="9">
        <v>0</v>
      </c>
      <c r="BH28" s="14">
        <v>0</v>
      </c>
      <c r="BI28" s="10">
        <v>0</v>
      </c>
      <c r="BJ28" s="14">
        <v>0</v>
      </c>
      <c r="BK28" s="56"/>
      <c r="BL28" s="55"/>
      <c r="BM28" s="56"/>
      <c r="BN28" s="9">
        <v>0</v>
      </c>
      <c r="BO28" s="14">
        <v>0</v>
      </c>
      <c r="BP28" s="10">
        <v>0</v>
      </c>
      <c r="BQ28" s="14">
        <v>0</v>
      </c>
      <c r="BR28" s="56"/>
      <c r="BS28" s="55"/>
      <c r="BT28" s="56"/>
      <c r="BU28" s="9">
        <v>0</v>
      </c>
      <c r="BV28" s="14">
        <v>0</v>
      </c>
      <c r="BW28" s="10">
        <v>0</v>
      </c>
      <c r="BX28" s="14">
        <v>0</v>
      </c>
      <c r="BY28" s="56"/>
      <c r="BZ28" s="55"/>
      <c r="CA28" s="56"/>
      <c r="CB28" s="9">
        <v>0</v>
      </c>
      <c r="CC28" s="14">
        <v>0</v>
      </c>
      <c r="CD28" s="10">
        <v>0</v>
      </c>
      <c r="CE28" s="14">
        <v>0</v>
      </c>
      <c r="CF28" s="56"/>
      <c r="CG28" s="55"/>
      <c r="CH28" s="56"/>
      <c r="CI28" s="9">
        <v>0</v>
      </c>
      <c r="CJ28" s="14">
        <v>0</v>
      </c>
      <c r="CK28" s="10">
        <v>0</v>
      </c>
      <c r="CL28" s="14">
        <v>0</v>
      </c>
      <c r="CM28" s="56"/>
      <c r="CN28" s="55"/>
      <c r="CO28" s="56"/>
      <c r="CP28" s="9">
        <v>0</v>
      </c>
      <c r="CQ28" s="14">
        <v>0</v>
      </c>
      <c r="CR28" s="10">
        <v>0</v>
      </c>
      <c r="CS28" s="14">
        <v>0</v>
      </c>
      <c r="CT28" s="56"/>
      <c r="CU28" s="55"/>
      <c r="CV28" s="56"/>
      <c r="CW28" s="9">
        <v>0</v>
      </c>
      <c r="CX28" s="14">
        <v>0</v>
      </c>
      <c r="CY28" s="10">
        <v>0</v>
      </c>
      <c r="CZ28" s="14">
        <v>0</v>
      </c>
      <c r="DA28" s="56"/>
      <c r="DB28" s="55"/>
      <c r="DC28" s="56"/>
    </row>
    <row r="29" spans="1:107" ht="12.75">
      <c r="A29" s="8" t="s">
        <v>87</v>
      </c>
      <c r="B29" s="8"/>
      <c r="C29" s="8"/>
      <c r="D29" s="9">
        <v>0</v>
      </c>
      <c r="E29" s="14">
        <f t="shared" si="0"/>
        <v>0</v>
      </c>
      <c r="F29" s="10">
        <v>0</v>
      </c>
      <c r="G29" s="14">
        <f t="shared" si="1"/>
        <v>0</v>
      </c>
      <c r="H29" s="8"/>
      <c r="I29" s="8"/>
      <c r="J29" s="9">
        <v>0</v>
      </c>
      <c r="K29" s="14">
        <f t="shared" si="3"/>
        <v>0</v>
      </c>
      <c r="L29" s="10">
        <v>0</v>
      </c>
      <c r="M29" s="14">
        <f t="shared" si="4"/>
        <v>0</v>
      </c>
      <c r="N29" s="56"/>
      <c r="O29" s="55"/>
      <c r="P29" s="56"/>
      <c r="Q29" s="9">
        <v>0</v>
      </c>
      <c r="R29" s="14">
        <v>0</v>
      </c>
      <c r="S29" s="10">
        <v>0</v>
      </c>
      <c r="T29" s="14">
        <f t="shared" si="2"/>
        <v>0</v>
      </c>
      <c r="U29" s="56"/>
      <c r="V29" s="55"/>
      <c r="W29" s="56"/>
      <c r="X29" s="9">
        <v>0</v>
      </c>
      <c r="Y29" s="14">
        <v>0</v>
      </c>
      <c r="Z29" s="10">
        <v>0</v>
      </c>
      <c r="AA29" s="14">
        <v>0</v>
      </c>
      <c r="AB29" s="56"/>
      <c r="AC29" s="55"/>
      <c r="AD29" s="56"/>
      <c r="AE29" s="9">
        <v>0</v>
      </c>
      <c r="AF29" s="14">
        <v>0</v>
      </c>
      <c r="AG29" s="10">
        <v>0</v>
      </c>
      <c r="AH29" s="14">
        <v>0</v>
      </c>
      <c r="AI29" s="56"/>
      <c r="AJ29" s="55"/>
      <c r="AK29" s="56"/>
      <c r="AL29" s="9">
        <v>0</v>
      </c>
      <c r="AM29" s="14">
        <v>0</v>
      </c>
      <c r="AN29" s="10">
        <v>0</v>
      </c>
      <c r="AO29" s="14">
        <v>0</v>
      </c>
      <c r="AP29" s="56"/>
      <c r="AQ29" s="55"/>
      <c r="AR29" s="56"/>
      <c r="AS29" s="9">
        <v>0</v>
      </c>
      <c r="AT29" s="14">
        <v>0</v>
      </c>
      <c r="AU29" s="10">
        <v>0</v>
      </c>
      <c r="AV29" s="14">
        <v>0</v>
      </c>
      <c r="AW29" s="56"/>
      <c r="AX29" s="55"/>
      <c r="AY29" s="56"/>
      <c r="AZ29" s="9">
        <v>0</v>
      </c>
      <c r="BA29" s="14">
        <v>0</v>
      </c>
      <c r="BB29" s="10">
        <v>0</v>
      </c>
      <c r="BC29" s="14">
        <v>0</v>
      </c>
      <c r="BD29" s="56"/>
      <c r="BE29" s="55"/>
      <c r="BF29" s="56"/>
      <c r="BG29" s="9">
        <v>0</v>
      </c>
      <c r="BH29" s="14">
        <v>0</v>
      </c>
      <c r="BI29" s="10">
        <v>0</v>
      </c>
      <c r="BJ29" s="14">
        <v>0</v>
      </c>
      <c r="BK29" s="56"/>
      <c r="BL29" s="55"/>
      <c r="BM29" s="56"/>
      <c r="BN29" s="9">
        <v>0</v>
      </c>
      <c r="BO29" s="14">
        <v>0</v>
      </c>
      <c r="BP29" s="10">
        <v>0</v>
      </c>
      <c r="BQ29" s="14">
        <v>0</v>
      </c>
      <c r="BR29" s="56"/>
      <c r="BS29" s="55"/>
      <c r="BT29" s="56"/>
      <c r="BU29" s="9">
        <v>0</v>
      </c>
      <c r="BV29" s="14">
        <v>0</v>
      </c>
      <c r="BW29" s="10">
        <v>0</v>
      </c>
      <c r="BX29" s="14">
        <v>0</v>
      </c>
      <c r="BY29" s="56"/>
      <c r="BZ29" s="55"/>
      <c r="CA29" s="56"/>
      <c r="CB29" s="9">
        <v>0</v>
      </c>
      <c r="CC29" s="14">
        <v>0</v>
      </c>
      <c r="CD29" s="10">
        <v>0</v>
      </c>
      <c r="CE29" s="14">
        <v>0</v>
      </c>
      <c r="CF29" s="56"/>
      <c r="CG29" s="55"/>
      <c r="CH29" s="56"/>
      <c r="CI29" s="9">
        <v>0</v>
      </c>
      <c r="CJ29" s="14">
        <v>0</v>
      </c>
      <c r="CK29" s="10">
        <v>0</v>
      </c>
      <c r="CL29" s="14">
        <v>0</v>
      </c>
      <c r="CM29" s="56"/>
      <c r="CN29" s="55"/>
      <c r="CO29" s="56"/>
      <c r="CP29" s="9">
        <v>0</v>
      </c>
      <c r="CQ29" s="14">
        <v>0</v>
      </c>
      <c r="CR29" s="10">
        <v>0</v>
      </c>
      <c r="CS29" s="14">
        <v>0</v>
      </c>
      <c r="CT29" s="56"/>
      <c r="CU29" s="55"/>
      <c r="CV29" s="56"/>
      <c r="CW29" s="9">
        <v>0</v>
      </c>
      <c r="CX29" s="14">
        <v>0</v>
      </c>
      <c r="CY29" s="10">
        <v>0</v>
      </c>
      <c r="CZ29" s="14">
        <v>0</v>
      </c>
      <c r="DA29" s="56"/>
      <c r="DB29" s="55"/>
      <c r="DC29" s="56"/>
    </row>
    <row r="30" spans="1:107" ht="12.75">
      <c r="A30" s="8"/>
      <c r="B30" s="8"/>
      <c r="C30" s="8"/>
      <c r="D30" s="9"/>
      <c r="E30" s="8"/>
      <c r="F30" s="10"/>
      <c r="G30" s="8"/>
      <c r="H30" s="8"/>
      <c r="I30" s="8"/>
      <c r="J30" s="9"/>
      <c r="K30" s="8"/>
      <c r="L30" s="10"/>
      <c r="M30" s="8"/>
      <c r="N30" s="54"/>
      <c r="O30" s="55"/>
      <c r="P30" s="54"/>
      <c r="Q30" s="9"/>
      <c r="R30" s="8"/>
      <c r="S30" s="10"/>
      <c r="T30" s="8"/>
      <c r="U30" s="54"/>
      <c r="V30" s="55"/>
      <c r="W30" s="54"/>
      <c r="X30" s="9"/>
      <c r="Y30" s="8"/>
      <c r="Z30" s="10"/>
      <c r="AA30" s="8"/>
      <c r="AB30" s="54"/>
      <c r="AC30" s="55"/>
      <c r="AD30" s="54"/>
      <c r="AE30" s="9"/>
      <c r="AF30" s="8"/>
      <c r="AG30" s="10"/>
      <c r="AH30" s="8"/>
      <c r="AI30" s="54"/>
      <c r="AJ30" s="55"/>
      <c r="AK30" s="54"/>
      <c r="AL30" s="9"/>
      <c r="AM30" s="8"/>
      <c r="AN30" s="10"/>
      <c r="AO30" s="8"/>
      <c r="AP30" s="54"/>
      <c r="AQ30" s="55"/>
      <c r="AR30" s="54"/>
      <c r="AS30" s="9"/>
      <c r="AT30" s="8"/>
      <c r="AU30" s="10"/>
      <c r="AV30" s="8"/>
      <c r="AW30" s="54"/>
      <c r="AX30" s="55"/>
      <c r="AY30" s="54"/>
      <c r="AZ30" s="9"/>
      <c r="BA30" s="8"/>
      <c r="BB30" s="10"/>
      <c r="BC30" s="8"/>
      <c r="BD30" s="54"/>
      <c r="BE30" s="55"/>
      <c r="BF30" s="54"/>
      <c r="BG30" s="9"/>
      <c r="BH30" s="8"/>
      <c r="BI30" s="10"/>
      <c r="BJ30" s="8"/>
      <c r="BK30" s="54"/>
      <c r="BL30" s="55"/>
      <c r="BM30" s="54"/>
      <c r="BN30" s="9"/>
      <c r="BO30" s="8"/>
      <c r="BP30" s="10"/>
      <c r="BQ30" s="8"/>
      <c r="BR30" s="54"/>
      <c r="BS30" s="55"/>
      <c r="BT30" s="54"/>
      <c r="BU30" s="9"/>
      <c r="BV30" s="8"/>
      <c r="BW30" s="10"/>
      <c r="BX30" s="8"/>
      <c r="BY30" s="54"/>
      <c r="BZ30" s="55"/>
      <c r="CA30" s="54"/>
      <c r="CB30" s="9"/>
      <c r="CC30" s="8"/>
      <c r="CD30" s="10"/>
      <c r="CE30" s="8"/>
      <c r="CF30" s="54"/>
      <c r="CG30" s="55"/>
      <c r="CH30" s="54"/>
      <c r="CI30" s="9"/>
      <c r="CJ30" s="8"/>
      <c r="CK30" s="10"/>
      <c r="CL30" s="8"/>
      <c r="CM30" s="54"/>
      <c r="CN30" s="55"/>
      <c r="CO30" s="54"/>
      <c r="CP30" s="9"/>
      <c r="CQ30" s="8"/>
      <c r="CR30" s="10"/>
      <c r="CS30" s="8"/>
      <c r="CT30" s="54"/>
      <c r="CU30" s="55"/>
      <c r="CV30" s="54"/>
      <c r="CW30" s="9"/>
      <c r="CX30" s="8"/>
      <c r="CY30" s="10"/>
      <c r="CZ30" s="8"/>
      <c r="DA30" s="54"/>
      <c r="DB30" s="55"/>
      <c r="DC30" s="54"/>
    </row>
    <row r="31" spans="1:107" ht="13.5" thickBot="1">
      <c r="A31" s="8"/>
      <c r="B31" s="12"/>
      <c r="C31" s="12"/>
      <c r="D31" s="21">
        <f>SUM(D20:D30)</f>
        <v>60250388.00000001</v>
      </c>
      <c r="E31" s="12"/>
      <c r="F31" s="22">
        <f>SUM(F20:F30)</f>
        <v>76573</v>
      </c>
      <c r="G31" s="23"/>
      <c r="H31" s="8"/>
      <c r="I31" s="8"/>
      <c r="J31" s="21">
        <f>SUM(J20:J29)</f>
        <v>42724189.14999978</v>
      </c>
      <c r="K31" s="12"/>
      <c r="L31" s="22">
        <f>SUM(L20:L29)</f>
        <v>61036</v>
      </c>
      <c r="M31" s="23"/>
      <c r="N31" s="53"/>
      <c r="O31" s="31"/>
      <c r="P31" s="57"/>
      <c r="Q31" s="21">
        <v>49501846.23000014</v>
      </c>
      <c r="R31" s="12"/>
      <c r="S31" s="22">
        <f>SUM(S20:S30)</f>
        <v>65615</v>
      </c>
      <c r="T31" s="23"/>
      <c r="U31" s="53"/>
      <c r="V31" s="31"/>
      <c r="W31" s="57"/>
      <c r="X31" s="21">
        <f>SUM(X20:X30)</f>
        <v>44330354.319999926</v>
      </c>
      <c r="Y31" s="12"/>
      <c r="Z31" s="22">
        <f>SUM(Z20:Z30)</f>
        <v>57370</v>
      </c>
      <c r="AA31" s="23"/>
      <c r="AB31" s="53"/>
      <c r="AC31" s="31"/>
      <c r="AD31" s="57"/>
      <c r="AE31" s="21">
        <f>SUM(AE20:AE30)</f>
        <v>37385681.29000004</v>
      </c>
      <c r="AF31" s="12"/>
      <c r="AG31" s="22">
        <f>SUM(AG20:AG30)</f>
        <v>49839</v>
      </c>
      <c r="AH31" s="23"/>
      <c r="AI31" s="53"/>
      <c r="AJ31" s="31"/>
      <c r="AK31" s="57"/>
      <c r="AL31" s="21">
        <f>SUM(AL20:AL30)</f>
        <v>34927963.56000014</v>
      </c>
      <c r="AM31" s="12"/>
      <c r="AN31" s="22">
        <f>SUM(AN20:AN30)</f>
        <v>46995</v>
      </c>
      <c r="AO31" s="23"/>
      <c r="AP31" s="53"/>
      <c r="AQ31" s="31"/>
      <c r="AR31" s="57"/>
      <c r="AS31" s="21">
        <f>SUM(AS20:AS30)</f>
        <v>32008122.54000001</v>
      </c>
      <c r="AT31" s="12"/>
      <c r="AU31" s="22">
        <f>SUM(AU20:AU30)</f>
        <v>42109</v>
      </c>
      <c r="AV31" s="23"/>
      <c r="AW31" s="53"/>
      <c r="AX31" s="31"/>
      <c r="AY31" s="57"/>
      <c r="AZ31" s="21">
        <f>SUM(AZ20:AZ30)</f>
        <v>35073192.54999996</v>
      </c>
      <c r="BA31" s="12"/>
      <c r="BB31" s="22">
        <f>SUM(BB20:BB30)</f>
        <v>42964</v>
      </c>
      <c r="BC31" s="23"/>
      <c r="BD31" s="53"/>
      <c r="BE31" s="31"/>
      <c r="BF31" s="57"/>
      <c r="BG31" s="21">
        <f>SUM(BG20:BG30)</f>
        <v>29599477.060000025</v>
      </c>
      <c r="BH31" s="12"/>
      <c r="BI31" s="22">
        <f>SUM(BI20:BI30)</f>
        <v>37325</v>
      </c>
      <c r="BJ31" s="23"/>
      <c r="BK31" s="53"/>
      <c r="BL31" s="31"/>
      <c r="BM31" s="57"/>
      <c r="BN31" s="21">
        <f>SUM(BN20:BN30)</f>
        <v>26064776.78000007</v>
      </c>
      <c r="BO31" s="12"/>
      <c r="BP31" s="22">
        <f>SUM(BP20:BP30)</f>
        <v>32920</v>
      </c>
      <c r="BQ31" s="23"/>
      <c r="BR31" s="53"/>
      <c r="BS31" s="31"/>
      <c r="BT31" s="57"/>
      <c r="BU31" s="21">
        <f>SUM(BU20:BU30)</f>
        <v>24228213.130000014</v>
      </c>
      <c r="BV31" s="12"/>
      <c r="BW31" s="22">
        <f>SUM(BW20:BW30)</f>
        <v>30629</v>
      </c>
      <c r="BX31" s="23"/>
      <c r="BY31" s="53"/>
      <c r="BZ31" s="31"/>
      <c r="CA31" s="57"/>
      <c r="CB31" s="21">
        <f>SUM(CB20:CB30)</f>
        <v>25416684.01000011</v>
      </c>
      <c r="CC31" s="12"/>
      <c r="CD31" s="22">
        <f>SUM(CD20:CD30)</f>
        <v>30424</v>
      </c>
      <c r="CE31" s="23"/>
      <c r="CF31" s="53"/>
      <c r="CG31" s="31"/>
      <c r="CH31" s="57"/>
      <c r="CI31" s="21">
        <f>SUM(CI20:CI30)</f>
        <v>18747361.95000007</v>
      </c>
      <c r="CJ31" s="12"/>
      <c r="CK31" s="22">
        <f>SUM(CK20:CK30)</f>
        <v>23790</v>
      </c>
      <c r="CL31" s="23"/>
      <c r="CM31" s="53"/>
      <c r="CN31" s="31"/>
      <c r="CO31" s="57"/>
      <c r="CP31" s="21">
        <f>SUM(CP20:CP30)</f>
        <v>14317781.389999976</v>
      </c>
      <c r="CQ31" s="12"/>
      <c r="CR31" s="22">
        <f>SUM(CR20:CR30)</f>
        <v>18643</v>
      </c>
      <c r="CS31" s="23"/>
      <c r="CT31" s="53"/>
      <c r="CU31" s="31"/>
      <c r="CV31" s="57"/>
      <c r="CW31" s="21">
        <f>SUM(CW20:CW30)</f>
        <v>14663728.229999993</v>
      </c>
      <c r="CX31" s="12"/>
      <c r="CY31" s="22">
        <f>SUM(CY20:CY30)</f>
        <v>17600</v>
      </c>
      <c r="CZ31" s="23"/>
      <c r="DA31" s="53"/>
      <c r="DB31" s="31"/>
      <c r="DC31" s="57"/>
    </row>
    <row r="32" spans="1:107" ht="13.5" thickTop="1">
      <c r="A32" s="8"/>
      <c r="B32" s="8"/>
      <c r="C32" s="8"/>
      <c r="D32" s="9"/>
      <c r="E32" s="8"/>
      <c r="F32" s="10"/>
      <c r="G32" s="8"/>
      <c r="H32" s="8"/>
      <c r="I32" s="8"/>
      <c r="J32" s="8"/>
      <c r="K32" s="8"/>
      <c r="L32" s="8"/>
      <c r="M32" s="9"/>
      <c r="N32" s="8"/>
      <c r="O32" s="10"/>
      <c r="P32" s="8"/>
      <c r="Q32" s="8"/>
      <c r="R32" s="8"/>
      <c r="S32" s="8"/>
      <c r="T32" s="9"/>
      <c r="U32" s="8"/>
      <c r="V32" s="10"/>
      <c r="W32" s="8"/>
      <c r="X32" s="8"/>
      <c r="Y32" s="8"/>
      <c r="Z32" s="8"/>
      <c r="AA32" s="9"/>
      <c r="AB32" s="8"/>
      <c r="AC32" s="10"/>
      <c r="AD32" s="8"/>
      <c r="AE32" s="8"/>
      <c r="AF32" s="8"/>
      <c r="AG32" s="8"/>
      <c r="AH32" s="9"/>
      <c r="AI32" s="8"/>
      <c r="AJ32" s="10"/>
      <c r="AK32" s="8"/>
      <c r="AL32" s="8"/>
      <c r="AM32" s="8"/>
      <c r="AN32" s="8"/>
      <c r="AO32" s="9"/>
      <c r="AP32" s="8"/>
      <c r="AQ32" s="10"/>
      <c r="AR32" s="8"/>
      <c r="AS32" s="8"/>
      <c r="AT32" s="8"/>
      <c r="AU32" s="8"/>
      <c r="AV32" s="9"/>
      <c r="AW32" s="8"/>
      <c r="AX32" s="10"/>
      <c r="AY32" s="8"/>
      <c r="AZ32" s="8"/>
      <c r="BA32" s="8"/>
      <c r="BB32" s="8"/>
      <c r="BC32" s="9"/>
      <c r="BD32" s="8"/>
      <c r="BE32" s="10"/>
      <c r="BF32" s="8"/>
      <c r="BG32" s="8"/>
      <c r="BH32" s="8"/>
      <c r="BI32" s="8"/>
      <c r="BJ32" s="9"/>
      <c r="BK32" s="8"/>
      <c r="BL32" s="10"/>
      <c r="BM32" s="8"/>
      <c r="BN32" s="8"/>
      <c r="BO32" s="8"/>
      <c r="BP32" s="8"/>
      <c r="BQ32" s="9"/>
      <c r="BR32" s="8"/>
      <c r="BS32" s="10"/>
      <c r="BT32" s="8"/>
      <c r="BU32" s="8"/>
      <c r="BV32" s="8"/>
      <c r="BW32" s="8"/>
      <c r="BX32" s="9"/>
      <c r="BY32" s="8"/>
      <c r="BZ32" s="10"/>
      <c r="CA32" s="8"/>
      <c r="CB32" s="8"/>
      <c r="CC32" s="8"/>
      <c r="CD32" s="8"/>
      <c r="CE32" s="9"/>
      <c r="CF32" s="8"/>
      <c r="CG32" s="10"/>
      <c r="CH32" s="8"/>
      <c r="CI32" s="8"/>
      <c r="CJ32" s="8"/>
      <c r="CK32" s="8"/>
      <c r="CL32" s="9"/>
      <c r="CM32" s="8"/>
      <c r="CN32" s="10"/>
      <c r="CO32" s="8"/>
      <c r="CP32" s="8"/>
      <c r="CQ32" s="8"/>
      <c r="CR32" s="8"/>
      <c r="CS32" s="9"/>
      <c r="CT32" s="8"/>
      <c r="CU32" s="10"/>
      <c r="CV32" s="8"/>
      <c r="CW32" s="8"/>
      <c r="CX32" s="8"/>
      <c r="CY32" s="8"/>
      <c r="CZ32" s="9"/>
      <c r="DA32" s="8"/>
      <c r="DB32" s="10"/>
      <c r="DC32" s="8"/>
    </row>
    <row r="33" spans="1:107" ht="12.75">
      <c r="A33" s="8"/>
      <c r="B33" s="8"/>
      <c r="C33" s="8"/>
      <c r="D33" s="9"/>
      <c r="E33" s="8"/>
      <c r="F33" s="10"/>
      <c r="G33" s="8"/>
      <c r="H33" s="8"/>
      <c r="I33" s="8"/>
      <c r="J33" s="8"/>
      <c r="K33" s="8"/>
      <c r="L33" s="8"/>
      <c r="M33" s="9"/>
      <c r="N33" s="8"/>
      <c r="O33" s="10"/>
      <c r="P33" s="8"/>
      <c r="Q33" s="8"/>
      <c r="R33" s="8"/>
      <c r="S33" s="8"/>
      <c r="T33" s="9"/>
      <c r="U33" s="8"/>
      <c r="V33" s="10"/>
      <c r="W33" s="8"/>
      <c r="X33" s="8"/>
      <c r="Y33" s="8"/>
      <c r="Z33" s="8"/>
      <c r="AA33" s="9"/>
      <c r="AB33" s="8"/>
      <c r="AC33" s="10"/>
      <c r="AD33" s="8"/>
      <c r="AE33" s="8"/>
      <c r="AF33" s="8"/>
      <c r="AG33" s="8"/>
      <c r="AH33" s="9"/>
      <c r="AI33" s="8"/>
      <c r="AJ33" s="10"/>
      <c r="AK33" s="8"/>
      <c r="AL33" s="8"/>
      <c r="AM33" s="8"/>
      <c r="AN33" s="8"/>
      <c r="AO33" s="9"/>
      <c r="AP33" s="8"/>
      <c r="AQ33" s="10"/>
      <c r="AR33" s="8"/>
      <c r="AS33" s="8"/>
      <c r="AT33" s="8"/>
      <c r="AU33" s="8"/>
      <c r="AV33" s="9"/>
      <c r="AW33" s="8"/>
      <c r="AX33" s="10"/>
      <c r="AY33" s="8"/>
      <c r="AZ33" s="8"/>
      <c r="BA33" s="8"/>
      <c r="BB33" s="8"/>
      <c r="BC33" s="9"/>
      <c r="BD33" s="8"/>
      <c r="BE33" s="10"/>
      <c r="BF33" s="8"/>
      <c r="BG33" s="8"/>
      <c r="BH33" s="8"/>
      <c r="BI33" s="8"/>
      <c r="BJ33" s="9"/>
      <c r="BK33" s="8"/>
      <c r="BL33" s="10"/>
      <c r="BM33" s="8"/>
      <c r="BN33" s="8"/>
      <c r="BO33" s="8"/>
      <c r="BP33" s="8"/>
      <c r="BQ33" s="9"/>
      <c r="BR33" s="8"/>
      <c r="BS33" s="10"/>
      <c r="BT33" s="8"/>
      <c r="BU33" s="8"/>
      <c r="BV33" s="8"/>
      <c r="BW33" s="8"/>
      <c r="BX33" s="9"/>
      <c r="BY33" s="8"/>
      <c r="BZ33" s="10"/>
      <c r="CA33" s="8"/>
      <c r="CB33" s="8"/>
      <c r="CC33" s="8"/>
      <c r="CD33" s="8"/>
      <c r="CE33" s="9"/>
      <c r="CF33" s="8"/>
      <c r="CG33" s="10"/>
      <c r="CH33" s="8"/>
      <c r="CI33" s="8"/>
      <c r="CJ33" s="8"/>
      <c r="CK33" s="8"/>
      <c r="CL33" s="9"/>
      <c r="CM33" s="8"/>
      <c r="CN33" s="10"/>
      <c r="CO33" s="8"/>
      <c r="CP33" s="8"/>
      <c r="CQ33" s="8"/>
      <c r="CR33" s="8"/>
      <c r="CS33" s="9"/>
      <c r="CT33" s="8"/>
      <c r="CU33" s="10"/>
      <c r="CV33" s="8"/>
      <c r="CW33" s="8"/>
      <c r="CX33" s="8"/>
      <c r="CY33" s="8"/>
      <c r="CZ33" s="9"/>
      <c r="DA33" s="8"/>
      <c r="DB33" s="10"/>
      <c r="DC33" s="8"/>
    </row>
    <row r="34" spans="1:107" ht="12.75">
      <c r="A34" s="19" t="s">
        <v>111</v>
      </c>
      <c r="B34" s="8"/>
      <c r="C34" s="8"/>
      <c r="D34" s="9"/>
      <c r="E34" s="8"/>
      <c r="F34" s="10"/>
      <c r="G34" s="8"/>
      <c r="H34" s="8"/>
      <c r="I34" s="8"/>
      <c r="J34" s="19" t="s">
        <v>111</v>
      </c>
      <c r="K34" s="8"/>
      <c r="L34" s="8"/>
      <c r="M34" s="9"/>
      <c r="N34" s="8"/>
      <c r="O34" s="10"/>
      <c r="P34" s="8"/>
      <c r="Q34" s="19" t="s">
        <v>111</v>
      </c>
      <c r="R34" s="8"/>
      <c r="S34" s="8"/>
      <c r="T34" s="9"/>
      <c r="U34" s="8"/>
      <c r="V34" s="10"/>
      <c r="W34" s="8"/>
      <c r="X34" s="19" t="s">
        <v>111</v>
      </c>
      <c r="Y34" s="8"/>
      <c r="Z34" s="8"/>
      <c r="AA34" s="9"/>
      <c r="AB34" s="8"/>
      <c r="AC34" s="10"/>
      <c r="AD34" s="8"/>
      <c r="AE34" s="19" t="s">
        <v>111</v>
      </c>
      <c r="AF34" s="8"/>
      <c r="AG34" s="8"/>
      <c r="AH34" s="9"/>
      <c r="AI34" s="8"/>
      <c r="AJ34" s="10"/>
      <c r="AK34" s="8"/>
      <c r="AL34" s="19" t="s">
        <v>111</v>
      </c>
      <c r="AM34" s="8"/>
      <c r="AN34" s="8"/>
      <c r="AO34" s="9"/>
      <c r="AP34" s="8"/>
      <c r="AQ34" s="10"/>
      <c r="AR34" s="8"/>
      <c r="AS34" s="19" t="s">
        <v>111</v>
      </c>
      <c r="AT34" s="8"/>
      <c r="AU34" s="8"/>
      <c r="AV34" s="9"/>
      <c r="AW34" s="8"/>
      <c r="AX34" s="10"/>
      <c r="AY34" s="8"/>
      <c r="AZ34" s="19" t="s">
        <v>111</v>
      </c>
      <c r="BA34" s="8"/>
      <c r="BB34" s="8"/>
      <c r="BC34" s="9"/>
      <c r="BD34" s="8"/>
      <c r="BE34" s="10"/>
      <c r="BF34" s="8"/>
      <c r="BG34" s="19" t="s">
        <v>111</v>
      </c>
      <c r="BH34" s="8"/>
      <c r="BI34" s="8"/>
      <c r="BJ34" s="9"/>
      <c r="BK34" s="8"/>
      <c r="BL34" s="10"/>
      <c r="BM34" s="8"/>
      <c r="BN34" s="19" t="s">
        <v>111</v>
      </c>
      <c r="BO34" s="8"/>
      <c r="BP34" s="8"/>
      <c r="BQ34" s="9"/>
      <c r="BR34" s="8"/>
      <c r="BS34" s="10"/>
      <c r="BT34" s="8"/>
      <c r="BU34" s="19" t="s">
        <v>111</v>
      </c>
      <c r="BV34" s="8"/>
      <c r="BW34" s="8"/>
      <c r="BX34" s="9"/>
      <c r="BY34" s="8"/>
      <c r="BZ34" s="10"/>
      <c r="CA34" s="8"/>
      <c r="CB34" s="19" t="s">
        <v>111</v>
      </c>
      <c r="CC34" s="8"/>
      <c r="CD34" s="8"/>
      <c r="CE34" s="9"/>
      <c r="CF34" s="8"/>
      <c r="CG34" s="10"/>
      <c r="CH34" s="8"/>
      <c r="CI34" s="19" t="s">
        <v>111</v>
      </c>
      <c r="CJ34" s="8"/>
      <c r="CK34" s="8"/>
      <c r="CL34" s="9"/>
      <c r="CM34" s="8"/>
      <c r="CN34" s="10"/>
      <c r="CO34" s="8"/>
      <c r="CP34" s="19" t="s">
        <v>111</v>
      </c>
      <c r="CQ34" s="8"/>
      <c r="CR34" s="8"/>
      <c r="CS34" s="9"/>
      <c r="CT34" s="8"/>
      <c r="CU34" s="10"/>
      <c r="CV34" s="8"/>
      <c r="CW34" s="19" t="s">
        <v>111</v>
      </c>
      <c r="CX34" s="8"/>
      <c r="CY34" s="8"/>
      <c r="CZ34" s="9"/>
      <c r="DA34" s="8"/>
      <c r="DB34" s="10"/>
      <c r="DC34" s="8"/>
    </row>
    <row r="35" spans="1:107" ht="12.75">
      <c r="A35" s="19"/>
      <c r="B35" s="8"/>
      <c r="C35" s="8"/>
      <c r="D35" s="9"/>
      <c r="E35" s="8"/>
      <c r="F35" s="10"/>
      <c r="G35" s="8"/>
      <c r="H35" s="8"/>
      <c r="I35" s="8"/>
      <c r="J35" s="19"/>
      <c r="K35" s="8"/>
      <c r="L35" s="8"/>
      <c r="M35" s="9"/>
      <c r="N35" s="8"/>
      <c r="O35" s="10"/>
      <c r="P35" s="8"/>
      <c r="Q35" s="19"/>
      <c r="R35" s="8"/>
      <c r="S35" s="8"/>
      <c r="T35" s="9"/>
      <c r="U35" s="8"/>
      <c r="V35" s="10"/>
      <c r="W35" s="8"/>
      <c r="X35" s="19"/>
      <c r="Y35" s="8"/>
      <c r="Z35" s="8"/>
      <c r="AA35" s="9"/>
      <c r="AB35" s="8"/>
      <c r="AC35" s="10"/>
      <c r="AD35" s="8"/>
      <c r="AE35" s="19"/>
      <c r="AF35" s="8"/>
      <c r="AG35" s="8"/>
      <c r="AH35" s="9"/>
      <c r="AI35" s="8"/>
      <c r="AJ35" s="10"/>
      <c r="AK35" s="8"/>
      <c r="AL35" s="19"/>
      <c r="AM35" s="8"/>
      <c r="AN35" s="8"/>
      <c r="AO35" s="9"/>
      <c r="AP35" s="8"/>
      <c r="AQ35" s="10"/>
      <c r="AR35" s="8"/>
      <c r="AS35" s="19"/>
      <c r="AT35" s="8"/>
      <c r="AU35" s="8"/>
      <c r="AV35" s="9"/>
      <c r="AW35" s="8"/>
      <c r="AX35" s="10"/>
      <c r="AY35" s="8"/>
      <c r="AZ35" s="19"/>
      <c r="BA35" s="8"/>
      <c r="BB35" s="8"/>
      <c r="BC35" s="9"/>
      <c r="BD35" s="8"/>
      <c r="BE35" s="10"/>
      <c r="BF35" s="8"/>
      <c r="BG35" s="19"/>
      <c r="BH35" s="8"/>
      <c r="BI35" s="8"/>
      <c r="BJ35" s="9"/>
      <c r="BK35" s="8"/>
      <c r="BL35" s="10"/>
      <c r="BM35" s="8"/>
      <c r="BN35" s="19"/>
      <c r="BO35" s="8"/>
      <c r="BP35" s="8"/>
      <c r="BQ35" s="9"/>
      <c r="BR35" s="8"/>
      <c r="BS35" s="10"/>
      <c r="BT35" s="8"/>
      <c r="BU35" s="19"/>
      <c r="BV35" s="8"/>
      <c r="BW35" s="8"/>
      <c r="BX35" s="9"/>
      <c r="BY35" s="8"/>
      <c r="BZ35" s="10"/>
      <c r="CA35" s="8"/>
      <c r="CB35" s="19"/>
      <c r="CC35" s="8"/>
      <c r="CD35" s="8"/>
      <c r="CE35" s="9"/>
      <c r="CF35" s="8"/>
      <c r="CG35" s="10"/>
      <c r="CH35" s="8"/>
      <c r="CI35" s="19"/>
      <c r="CJ35" s="8"/>
      <c r="CK35" s="8"/>
      <c r="CL35" s="9"/>
      <c r="CM35" s="8"/>
      <c r="CN35" s="10"/>
      <c r="CO35" s="8"/>
      <c r="CP35" s="19"/>
      <c r="CQ35" s="8"/>
      <c r="CR35" s="8"/>
      <c r="CS35" s="9"/>
      <c r="CT35" s="8"/>
      <c r="CU35" s="10"/>
      <c r="CV35" s="8"/>
      <c r="CW35" s="19"/>
      <c r="CX35" s="8"/>
      <c r="CY35" s="8"/>
      <c r="CZ35" s="9"/>
      <c r="DA35" s="8"/>
      <c r="DB35" s="10"/>
      <c r="DC35" s="8"/>
    </row>
    <row r="36" spans="1:107" s="29" customFormat="1" ht="12.75">
      <c r="A36" s="25"/>
      <c r="B36" s="26"/>
      <c r="C36" s="26"/>
      <c r="D36" s="27" t="s">
        <v>99</v>
      </c>
      <c r="E36" s="26" t="s">
        <v>100</v>
      </c>
      <c r="F36" s="28" t="s">
        <v>101</v>
      </c>
      <c r="G36" s="26" t="s">
        <v>100</v>
      </c>
      <c r="H36" s="25"/>
      <c r="I36" s="25"/>
      <c r="J36" s="27" t="s">
        <v>99</v>
      </c>
      <c r="K36" s="26" t="s">
        <v>100</v>
      </c>
      <c r="L36" s="28" t="s">
        <v>101</v>
      </c>
      <c r="M36" s="26" t="s">
        <v>100</v>
      </c>
      <c r="N36" s="64"/>
      <c r="O36" s="65"/>
      <c r="P36" s="64"/>
      <c r="Q36" s="27" t="s">
        <v>99</v>
      </c>
      <c r="R36" s="26" t="s">
        <v>100</v>
      </c>
      <c r="S36" s="28" t="s">
        <v>101</v>
      </c>
      <c r="T36" s="26" t="s">
        <v>100</v>
      </c>
      <c r="U36" s="64"/>
      <c r="V36" s="65"/>
      <c r="W36" s="64"/>
      <c r="X36" s="27" t="s">
        <v>99</v>
      </c>
      <c r="Y36" s="26" t="s">
        <v>100</v>
      </c>
      <c r="Z36" s="28" t="s">
        <v>101</v>
      </c>
      <c r="AA36" s="26" t="s">
        <v>100</v>
      </c>
      <c r="AB36" s="64"/>
      <c r="AC36" s="65"/>
      <c r="AD36" s="64"/>
      <c r="AE36" s="27" t="s">
        <v>99</v>
      </c>
      <c r="AF36" s="26" t="s">
        <v>100</v>
      </c>
      <c r="AG36" s="28" t="s">
        <v>101</v>
      </c>
      <c r="AH36" s="26" t="s">
        <v>100</v>
      </c>
      <c r="AI36" s="64"/>
      <c r="AJ36" s="65"/>
      <c r="AK36" s="64"/>
      <c r="AL36" s="27" t="s">
        <v>99</v>
      </c>
      <c r="AM36" s="26" t="s">
        <v>100</v>
      </c>
      <c r="AN36" s="28" t="s">
        <v>101</v>
      </c>
      <c r="AO36" s="26" t="s">
        <v>100</v>
      </c>
      <c r="AP36" s="64"/>
      <c r="AQ36" s="65"/>
      <c r="AR36" s="64"/>
      <c r="AS36" s="27" t="s">
        <v>99</v>
      </c>
      <c r="AT36" s="26" t="s">
        <v>100</v>
      </c>
      <c r="AU36" s="28" t="s">
        <v>101</v>
      </c>
      <c r="AV36" s="26" t="s">
        <v>100</v>
      </c>
      <c r="AW36" s="64"/>
      <c r="AX36" s="65"/>
      <c r="AY36" s="64"/>
      <c r="AZ36" s="89" t="s">
        <v>99</v>
      </c>
      <c r="BA36" s="44" t="s">
        <v>100</v>
      </c>
      <c r="BB36" s="88" t="s">
        <v>101</v>
      </c>
      <c r="BC36" s="44" t="s">
        <v>100</v>
      </c>
      <c r="BD36" s="64"/>
      <c r="BE36" s="65"/>
      <c r="BF36" s="64"/>
      <c r="BG36" s="89" t="s">
        <v>99</v>
      </c>
      <c r="BH36" s="44" t="s">
        <v>100</v>
      </c>
      <c r="BI36" s="88" t="s">
        <v>101</v>
      </c>
      <c r="BJ36" s="44" t="s">
        <v>100</v>
      </c>
      <c r="BK36" s="64"/>
      <c r="BL36" s="65"/>
      <c r="BM36" s="64"/>
      <c r="BN36" s="89" t="s">
        <v>99</v>
      </c>
      <c r="BO36" s="44" t="s">
        <v>100</v>
      </c>
      <c r="BP36" s="88" t="s">
        <v>101</v>
      </c>
      <c r="BQ36" s="44" t="s">
        <v>100</v>
      </c>
      <c r="BR36" s="64"/>
      <c r="BS36" s="65"/>
      <c r="BT36" s="64"/>
      <c r="BU36" s="89" t="s">
        <v>99</v>
      </c>
      <c r="BV36" s="44" t="s">
        <v>100</v>
      </c>
      <c r="BW36" s="88" t="s">
        <v>101</v>
      </c>
      <c r="BX36" s="44" t="s">
        <v>100</v>
      </c>
      <c r="BY36" s="64"/>
      <c r="BZ36" s="65"/>
      <c r="CA36" s="64"/>
      <c r="CB36" s="89" t="s">
        <v>99</v>
      </c>
      <c r="CC36" s="44" t="s">
        <v>100</v>
      </c>
      <c r="CD36" s="88" t="s">
        <v>101</v>
      </c>
      <c r="CE36" s="44" t="s">
        <v>100</v>
      </c>
      <c r="CF36" s="64"/>
      <c r="CG36" s="65"/>
      <c r="CH36" s="64"/>
      <c r="CI36" s="89" t="s">
        <v>99</v>
      </c>
      <c r="CJ36" s="44" t="s">
        <v>100</v>
      </c>
      <c r="CK36" s="88" t="s">
        <v>101</v>
      </c>
      <c r="CL36" s="44" t="s">
        <v>100</v>
      </c>
      <c r="CM36" s="64"/>
      <c r="CN36" s="65"/>
      <c r="CO36" s="64"/>
      <c r="CP36" s="89" t="s">
        <v>99</v>
      </c>
      <c r="CQ36" s="44" t="s">
        <v>100</v>
      </c>
      <c r="CR36" s="88" t="s">
        <v>101</v>
      </c>
      <c r="CS36" s="44" t="s">
        <v>100</v>
      </c>
      <c r="CT36" s="64"/>
      <c r="CU36" s="65"/>
      <c r="CV36" s="64"/>
      <c r="CW36" s="89" t="s">
        <v>99</v>
      </c>
      <c r="CX36" s="44" t="s">
        <v>100</v>
      </c>
      <c r="CY36" s="88" t="s">
        <v>101</v>
      </c>
      <c r="CZ36" s="44" t="s">
        <v>100</v>
      </c>
      <c r="DA36" s="64"/>
      <c r="DB36" s="65"/>
      <c r="DC36" s="64"/>
    </row>
    <row r="37" spans="1:107" ht="12.75">
      <c r="A37" s="12"/>
      <c r="B37" s="8"/>
      <c r="C37" s="8"/>
      <c r="D37" s="9"/>
      <c r="E37" s="8"/>
      <c r="F37" s="10"/>
      <c r="G37" s="8"/>
      <c r="H37" s="8"/>
      <c r="I37" s="8"/>
      <c r="J37" s="9"/>
      <c r="K37" s="8"/>
      <c r="L37" s="10"/>
      <c r="M37" s="8"/>
      <c r="N37" s="54"/>
      <c r="O37" s="55"/>
      <c r="P37" s="54"/>
      <c r="Q37" s="9"/>
      <c r="R37" s="8"/>
      <c r="S37" s="10"/>
      <c r="T37" s="8"/>
      <c r="U37" s="54"/>
      <c r="V37" s="55"/>
      <c r="W37" s="54"/>
      <c r="X37" s="9"/>
      <c r="Y37" s="8"/>
      <c r="Z37" s="10"/>
      <c r="AA37" s="8"/>
      <c r="AB37" s="54"/>
      <c r="AC37" s="55"/>
      <c r="AD37" s="54"/>
      <c r="AE37" s="9"/>
      <c r="AF37" s="8"/>
      <c r="AG37" s="10"/>
      <c r="AH37" s="8"/>
      <c r="AI37" s="54"/>
      <c r="AJ37" s="55"/>
      <c r="AK37" s="54"/>
      <c r="AL37" s="9"/>
      <c r="AM37" s="8"/>
      <c r="AN37" s="10"/>
      <c r="AO37" s="8"/>
      <c r="AP37" s="54"/>
      <c r="AQ37" s="55"/>
      <c r="AR37" s="54"/>
      <c r="AS37" s="9"/>
      <c r="AT37" s="8"/>
      <c r="AU37" s="10"/>
      <c r="AV37" s="8"/>
      <c r="AW37" s="54"/>
      <c r="AX37" s="55"/>
      <c r="AY37" s="54"/>
      <c r="AZ37" s="9"/>
      <c r="BA37" s="8"/>
      <c r="BB37" s="10"/>
      <c r="BC37" s="8"/>
      <c r="BD37" s="54"/>
      <c r="BE37" s="55"/>
      <c r="BF37" s="54"/>
      <c r="BG37" s="9"/>
      <c r="BH37" s="8"/>
      <c r="BI37" s="10"/>
      <c r="BJ37" s="8"/>
      <c r="BK37" s="54"/>
      <c r="BL37" s="55"/>
      <c r="BM37" s="54"/>
      <c r="BN37" s="9"/>
      <c r="BO37" s="8"/>
      <c r="BP37" s="10"/>
      <c r="BQ37" s="8"/>
      <c r="BR37" s="54"/>
      <c r="BS37" s="55"/>
      <c r="BT37" s="54"/>
      <c r="BU37" s="9"/>
      <c r="BV37" s="8"/>
      <c r="BW37" s="10"/>
      <c r="BX37" s="8"/>
      <c r="BY37" s="54"/>
      <c r="BZ37" s="55"/>
      <c r="CA37" s="54"/>
      <c r="CB37" s="9"/>
      <c r="CC37" s="8"/>
      <c r="CD37" s="10"/>
      <c r="CE37" s="8"/>
      <c r="CF37" s="54"/>
      <c r="CG37" s="55"/>
      <c r="CH37" s="54"/>
      <c r="CI37" s="9"/>
      <c r="CJ37" s="8"/>
      <c r="CK37" s="10"/>
      <c r="CL37" s="8"/>
      <c r="CM37" s="54"/>
      <c r="CN37" s="55"/>
      <c r="CO37" s="54"/>
      <c r="CP37" s="9"/>
      <c r="CQ37" s="8"/>
      <c r="CR37" s="10"/>
      <c r="CS37" s="8"/>
      <c r="CT37" s="54"/>
      <c r="CU37" s="55"/>
      <c r="CV37" s="54"/>
      <c r="CW37" s="9"/>
      <c r="CX37" s="8"/>
      <c r="CY37" s="10"/>
      <c r="CZ37" s="8"/>
      <c r="DA37" s="54"/>
      <c r="DB37" s="55"/>
      <c r="DC37" s="54"/>
    </row>
    <row r="38" spans="1:107" ht="12.75">
      <c r="A38" s="8" t="s">
        <v>31</v>
      </c>
      <c r="B38" s="8"/>
      <c r="C38" s="8"/>
      <c r="D38" s="9">
        <v>5786166.85</v>
      </c>
      <c r="E38" s="14">
        <f>+D38/$D$52</f>
        <v>0.09603534586366481</v>
      </c>
      <c r="F38" s="10">
        <v>7383</v>
      </c>
      <c r="G38" s="14">
        <f>+F38/$F$52</f>
        <v>0.09641779739594897</v>
      </c>
      <c r="H38" s="8"/>
      <c r="I38" s="8"/>
      <c r="J38" s="9">
        <v>3564722.77</v>
      </c>
      <c r="K38" s="14">
        <f>+J38/J52</f>
        <v>0.0834357033081341</v>
      </c>
      <c r="L38" s="10">
        <v>5378</v>
      </c>
      <c r="M38" s="14">
        <f>+L38/L52</f>
        <v>0.0881119339406252</v>
      </c>
      <c r="N38" s="56"/>
      <c r="O38" s="55"/>
      <c r="P38" s="56"/>
      <c r="Q38" s="9">
        <v>5043750.660000008</v>
      </c>
      <c r="R38" s="14">
        <v>0.10189015247159221</v>
      </c>
      <c r="S38" s="10">
        <v>6400</v>
      </c>
      <c r="T38" s="14">
        <f>+S38/$S$52</f>
        <v>0.09753867255962813</v>
      </c>
      <c r="U38" s="56"/>
      <c r="V38" s="55"/>
      <c r="W38" s="56"/>
      <c r="X38" s="9">
        <v>4745517.270000015</v>
      </c>
      <c r="Y38" s="14">
        <v>0.10704893617010942</v>
      </c>
      <c r="Z38" s="10">
        <v>5908</v>
      </c>
      <c r="AA38" s="14">
        <v>0.10298065190866307</v>
      </c>
      <c r="AB38" s="56"/>
      <c r="AC38" s="55"/>
      <c r="AD38" s="56"/>
      <c r="AE38" s="9">
        <v>3944621.21000001</v>
      </c>
      <c r="AF38" s="14">
        <v>0.10551155078335102</v>
      </c>
      <c r="AG38" s="10">
        <v>5365</v>
      </c>
      <c r="AH38" s="14">
        <v>0.10764662212323682</v>
      </c>
      <c r="AI38" s="56"/>
      <c r="AJ38" s="55"/>
      <c r="AK38" s="56"/>
      <c r="AL38" s="9">
        <v>3700387.4500000076</v>
      </c>
      <c r="AM38" s="14">
        <v>0.10594340673894158</v>
      </c>
      <c r="AN38" s="10">
        <v>5396</v>
      </c>
      <c r="AO38" s="14">
        <v>0.11482072560910735</v>
      </c>
      <c r="AP38" s="56"/>
      <c r="AQ38" s="55"/>
      <c r="AR38" s="56"/>
      <c r="AS38" s="9">
        <v>3433535.490000011</v>
      </c>
      <c r="AT38" s="14">
        <v>0.10727075559365215</v>
      </c>
      <c r="AU38" s="10">
        <v>4780</v>
      </c>
      <c r="AV38" s="14">
        <v>0.1135149255503574</v>
      </c>
      <c r="AW38" s="56"/>
      <c r="AX38" s="55"/>
      <c r="AY38" s="56"/>
      <c r="AZ38" s="9">
        <v>4426286.360000009</v>
      </c>
      <c r="BA38" s="14">
        <v>0.12620141019925513</v>
      </c>
      <c r="BB38" s="10">
        <v>5805</v>
      </c>
      <c r="BC38" s="14">
        <v>0.13511311795922168</v>
      </c>
      <c r="BD38" s="56"/>
      <c r="BE38" s="55"/>
      <c r="BF38" s="56"/>
      <c r="BG38" s="9">
        <v>3447944.58</v>
      </c>
      <c r="BH38" s="14">
        <v>0.11648667214663277</v>
      </c>
      <c r="BI38" s="10">
        <v>4844</v>
      </c>
      <c r="BJ38" s="14">
        <v>0.12977896851975887</v>
      </c>
      <c r="BK38" s="56"/>
      <c r="BL38" s="55"/>
      <c r="BM38" s="56"/>
      <c r="BN38" s="9">
        <v>2861660.45</v>
      </c>
      <c r="BO38" s="14">
        <v>0.10979033022817988</v>
      </c>
      <c r="BP38" s="10">
        <v>4083</v>
      </c>
      <c r="BQ38" s="14">
        <v>0.12402794653705954</v>
      </c>
      <c r="BR38" s="56"/>
      <c r="BS38" s="55"/>
      <c r="BT38" s="56"/>
      <c r="BU38" s="9">
        <v>2783259.39</v>
      </c>
      <c r="BV38" s="14">
        <v>0.11487679157625115</v>
      </c>
      <c r="BW38" s="10">
        <v>3966</v>
      </c>
      <c r="BX38" s="14">
        <v>0.12948512847301577</v>
      </c>
      <c r="BY38" s="56"/>
      <c r="BZ38" s="55"/>
      <c r="CA38" s="56"/>
      <c r="CB38" s="9">
        <v>3074617.2900000075</v>
      </c>
      <c r="CC38" s="14">
        <v>0.12096846657063214</v>
      </c>
      <c r="CD38" s="10">
        <v>4188</v>
      </c>
      <c r="CE38" s="14">
        <v>0.1376544833026558</v>
      </c>
      <c r="CF38" s="56"/>
      <c r="CG38" s="55"/>
      <c r="CH38" s="56"/>
      <c r="CI38" s="9">
        <v>1779507.59</v>
      </c>
      <c r="CJ38" s="14">
        <v>0.09492042639097835</v>
      </c>
      <c r="CK38" s="10">
        <v>2764</v>
      </c>
      <c r="CL38" s="14">
        <v>0.11618327028163093</v>
      </c>
      <c r="CM38" s="56"/>
      <c r="CN38" s="55"/>
      <c r="CO38" s="56"/>
      <c r="CP38" s="9">
        <v>1088130.69</v>
      </c>
      <c r="CQ38" s="14">
        <v>0.0759985545497982</v>
      </c>
      <c r="CR38" s="10">
        <v>1742</v>
      </c>
      <c r="CS38" s="14">
        <v>0.09343989701228343</v>
      </c>
      <c r="CT38" s="56"/>
      <c r="CU38" s="55"/>
      <c r="CV38" s="56"/>
      <c r="CW38" s="9">
        <v>1390981.28</v>
      </c>
      <c r="CX38" s="14">
        <v>0.09485863746125903</v>
      </c>
      <c r="CY38" s="10">
        <v>1848</v>
      </c>
      <c r="CZ38" s="14">
        <v>0.105</v>
      </c>
      <c r="DA38" s="56"/>
      <c r="DB38" s="55"/>
      <c r="DC38" s="56"/>
    </row>
    <row r="39" spans="1:107" ht="12.75">
      <c r="A39" s="8" t="s">
        <v>32</v>
      </c>
      <c r="B39" s="8"/>
      <c r="C39" s="8"/>
      <c r="D39" s="9">
        <v>4492472.7</v>
      </c>
      <c r="E39" s="14">
        <f aca="true" t="shared" si="5" ref="E39:E50">+D39/$D$52</f>
        <v>0.07456338206485907</v>
      </c>
      <c r="F39" s="10">
        <v>5031</v>
      </c>
      <c r="G39" s="14">
        <f aca="true" t="shared" si="6" ref="G39:G50">+F39/$F$52</f>
        <v>0.06570200984681285</v>
      </c>
      <c r="H39" s="8"/>
      <c r="I39" s="8"/>
      <c r="J39" s="9">
        <v>3581343.36</v>
      </c>
      <c r="K39" s="14">
        <f>+J39/$J$52</f>
        <v>0.08382472391521097</v>
      </c>
      <c r="L39" s="10">
        <v>4222</v>
      </c>
      <c r="M39" s="14">
        <f>L39/$L$52</f>
        <v>0.06917229176223869</v>
      </c>
      <c r="N39" s="56"/>
      <c r="O39" s="55"/>
      <c r="P39" s="56"/>
      <c r="Q39" s="9">
        <v>3994945.429999983</v>
      </c>
      <c r="R39" s="14">
        <v>0.08070295825812851</v>
      </c>
      <c r="S39" s="10">
        <v>4391</v>
      </c>
      <c r="T39" s="14">
        <f aca="true" t="shared" si="7" ref="T39:T50">+S39/$S$52</f>
        <v>0.06692067362645736</v>
      </c>
      <c r="U39" s="56"/>
      <c r="V39" s="55"/>
      <c r="W39" s="56"/>
      <c r="X39" s="9">
        <v>3765001.35</v>
      </c>
      <c r="Y39" s="14">
        <v>0.08493054945652416</v>
      </c>
      <c r="Z39" s="10">
        <v>4074</v>
      </c>
      <c r="AA39" s="14">
        <v>0.0710127244204288</v>
      </c>
      <c r="AB39" s="56"/>
      <c r="AC39" s="55"/>
      <c r="AD39" s="56"/>
      <c r="AE39" s="9">
        <v>3330150.1200000052</v>
      </c>
      <c r="AF39" s="14">
        <v>0.08907554991891405</v>
      </c>
      <c r="AG39" s="10">
        <v>3717</v>
      </c>
      <c r="AH39" s="14">
        <v>0.07458014807680732</v>
      </c>
      <c r="AI39" s="56"/>
      <c r="AJ39" s="55"/>
      <c r="AK39" s="56"/>
      <c r="AL39" s="9">
        <v>3054120.12</v>
      </c>
      <c r="AM39" s="14">
        <v>0.08744054358490058</v>
      </c>
      <c r="AN39" s="10">
        <v>3513</v>
      </c>
      <c r="AO39" s="14">
        <v>0.07475263325885732</v>
      </c>
      <c r="AP39" s="56"/>
      <c r="AQ39" s="55"/>
      <c r="AR39" s="56"/>
      <c r="AS39" s="9">
        <v>2763691.91</v>
      </c>
      <c r="AT39" s="14">
        <v>0.0863434556821087</v>
      </c>
      <c r="AU39" s="10">
        <v>3195</v>
      </c>
      <c r="AV39" s="14">
        <v>0.07587451613669287</v>
      </c>
      <c r="AW39" s="56"/>
      <c r="AX39" s="55"/>
      <c r="AY39" s="56"/>
      <c r="AZ39" s="9">
        <v>2654059</v>
      </c>
      <c r="BA39" s="14">
        <v>0.0756720106450647</v>
      </c>
      <c r="BB39" s="10">
        <v>3152</v>
      </c>
      <c r="BC39" s="14">
        <v>0.07336374639232845</v>
      </c>
      <c r="BD39" s="56"/>
      <c r="BE39" s="55"/>
      <c r="BF39" s="56"/>
      <c r="BG39" s="9">
        <v>2299422.2899999926</v>
      </c>
      <c r="BH39" s="14">
        <v>0.07768455791765913</v>
      </c>
      <c r="BI39" s="10">
        <v>2736</v>
      </c>
      <c r="BJ39" s="14">
        <v>0.07330207635632954</v>
      </c>
      <c r="BK39" s="56"/>
      <c r="BL39" s="55"/>
      <c r="BM39" s="56"/>
      <c r="BN39" s="9">
        <v>2001104.56</v>
      </c>
      <c r="BO39" s="14">
        <v>0.07677428342818118</v>
      </c>
      <c r="BP39" s="10">
        <v>2382</v>
      </c>
      <c r="BQ39" s="14">
        <v>0.07235722964763062</v>
      </c>
      <c r="BR39" s="56"/>
      <c r="BS39" s="55"/>
      <c r="BT39" s="56"/>
      <c r="BU39" s="9">
        <v>1864544</v>
      </c>
      <c r="BV39" s="14">
        <v>0.07695755316314562</v>
      </c>
      <c r="BW39" s="10">
        <v>2216</v>
      </c>
      <c r="BX39" s="14">
        <v>0.07234973391230533</v>
      </c>
      <c r="BY39" s="56"/>
      <c r="BZ39" s="55"/>
      <c r="CA39" s="56"/>
      <c r="CB39" s="9">
        <v>1747008.24</v>
      </c>
      <c r="CC39" s="14">
        <v>0.068734703524372</v>
      </c>
      <c r="CD39" s="10">
        <v>2074</v>
      </c>
      <c r="CE39" s="14">
        <v>0.06816986589534578</v>
      </c>
      <c r="CF39" s="56"/>
      <c r="CG39" s="55"/>
      <c r="CH39" s="56"/>
      <c r="CI39" s="9">
        <v>1481749.59</v>
      </c>
      <c r="CJ39" s="14">
        <v>0.07903776509739813</v>
      </c>
      <c r="CK39" s="10">
        <v>1699</v>
      </c>
      <c r="CL39" s="14">
        <v>0.071416561580496</v>
      </c>
      <c r="CM39" s="56"/>
      <c r="CN39" s="55"/>
      <c r="CO39" s="56"/>
      <c r="CP39" s="9">
        <v>1301749.44</v>
      </c>
      <c r="CQ39" s="14">
        <v>0.09091837656560278</v>
      </c>
      <c r="CR39" s="10">
        <v>1448</v>
      </c>
      <c r="CS39" s="14">
        <v>0.07766990291262135</v>
      </c>
      <c r="CT39" s="56"/>
      <c r="CU39" s="55"/>
      <c r="CV39" s="56"/>
      <c r="CW39" s="9">
        <v>1252424.37</v>
      </c>
      <c r="CX39" s="14">
        <v>0.08540968233697273</v>
      </c>
      <c r="CY39" s="10">
        <v>1338</v>
      </c>
      <c r="CZ39" s="14">
        <v>0.07602272727272727</v>
      </c>
      <c r="DA39" s="56"/>
      <c r="DB39" s="55"/>
      <c r="DC39" s="56"/>
    </row>
    <row r="40" spans="1:107" ht="12.75">
      <c r="A40" s="8" t="s">
        <v>33</v>
      </c>
      <c r="B40" s="8"/>
      <c r="C40" s="8"/>
      <c r="D40" s="9">
        <v>2917027.99</v>
      </c>
      <c r="E40" s="14">
        <f t="shared" si="5"/>
        <v>0.048415090538504096</v>
      </c>
      <c r="F40" s="10">
        <v>3808</v>
      </c>
      <c r="G40" s="14">
        <f t="shared" si="6"/>
        <v>0.04973032269860134</v>
      </c>
      <c r="H40" s="8"/>
      <c r="I40" s="8"/>
      <c r="J40" s="9">
        <v>2134688.33</v>
      </c>
      <c r="K40" s="14">
        <f aca="true" t="shared" si="8" ref="K40:K50">+J40/$J$52</f>
        <v>0.04996439657415947</v>
      </c>
      <c r="L40" s="10">
        <v>3045</v>
      </c>
      <c r="M40" s="14">
        <f aca="true" t="shared" si="9" ref="M40:M50">L40/$L$52</f>
        <v>0.04988859034012714</v>
      </c>
      <c r="N40" s="56"/>
      <c r="O40" s="55"/>
      <c r="P40" s="56"/>
      <c r="Q40" s="9">
        <v>2651695.7000000104</v>
      </c>
      <c r="R40" s="14">
        <v>0.053567612158937704</v>
      </c>
      <c r="S40" s="10">
        <v>3506</v>
      </c>
      <c r="T40" s="14">
        <f t="shared" si="7"/>
        <v>0.053432904061571286</v>
      </c>
      <c r="U40" s="56"/>
      <c r="V40" s="55"/>
      <c r="W40" s="56"/>
      <c r="X40" s="9">
        <v>2559810.9599999934</v>
      </c>
      <c r="Y40" s="14">
        <v>0.057743976994226585</v>
      </c>
      <c r="Z40" s="10">
        <v>3367</v>
      </c>
      <c r="AA40" s="14">
        <v>0.0586892103887049</v>
      </c>
      <c r="AB40" s="56"/>
      <c r="AC40" s="55"/>
      <c r="AD40" s="56"/>
      <c r="AE40" s="9">
        <v>2252640.1399999936</v>
      </c>
      <c r="AF40" s="14">
        <v>0.06025408825711396</v>
      </c>
      <c r="AG40" s="10">
        <v>3114</v>
      </c>
      <c r="AH40" s="14">
        <v>0.06248118942996449</v>
      </c>
      <c r="AI40" s="56"/>
      <c r="AJ40" s="55"/>
      <c r="AK40" s="56"/>
      <c r="AL40" s="9">
        <v>2103600.13</v>
      </c>
      <c r="AM40" s="14">
        <v>0.060226818731827704</v>
      </c>
      <c r="AN40" s="10">
        <v>2967</v>
      </c>
      <c r="AO40" s="14">
        <v>0.06313437599744653</v>
      </c>
      <c r="AP40" s="56"/>
      <c r="AQ40" s="55"/>
      <c r="AR40" s="56"/>
      <c r="AS40" s="9">
        <v>1965992.27</v>
      </c>
      <c r="AT40" s="14">
        <v>0.06142166781394728</v>
      </c>
      <c r="AU40" s="10">
        <v>2725</v>
      </c>
      <c r="AV40" s="14">
        <v>0.06471300672065354</v>
      </c>
      <c r="AW40" s="56"/>
      <c r="AX40" s="55"/>
      <c r="AY40" s="56"/>
      <c r="AZ40" s="9">
        <v>2213626.32</v>
      </c>
      <c r="BA40" s="14">
        <v>0.06311448029272723</v>
      </c>
      <c r="BB40" s="10">
        <v>2859</v>
      </c>
      <c r="BC40" s="14">
        <v>0.0665440834186761</v>
      </c>
      <c r="BD40" s="56"/>
      <c r="BE40" s="55"/>
      <c r="BF40" s="56"/>
      <c r="BG40" s="9">
        <v>1904402.84</v>
      </c>
      <c r="BH40" s="14">
        <v>0.06433907045518603</v>
      </c>
      <c r="BI40" s="10">
        <v>2636</v>
      </c>
      <c r="BJ40" s="14">
        <v>0.07062290689886136</v>
      </c>
      <c r="BK40" s="56"/>
      <c r="BL40" s="55"/>
      <c r="BM40" s="56"/>
      <c r="BN40" s="9">
        <v>1619266.59</v>
      </c>
      <c r="BO40" s="14">
        <v>0.062124705830686244</v>
      </c>
      <c r="BP40" s="10">
        <v>2203</v>
      </c>
      <c r="BQ40" s="14">
        <v>0.06691980558930741</v>
      </c>
      <c r="BR40" s="56"/>
      <c r="BS40" s="55"/>
      <c r="BT40" s="56"/>
      <c r="BU40" s="9">
        <v>1551221.82</v>
      </c>
      <c r="BV40" s="14">
        <v>0.06402543232043942</v>
      </c>
      <c r="BW40" s="10">
        <v>2104</v>
      </c>
      <c r="BX40" s="14">
        <v>0.06869306866041987</v>
      </c>
      <c r="BY40" s="56"/>
      <c r="BZ40" s="55"/>
      <c r="CA40" s="56"/>
      <c r="CB40" s="9">
        <v>1601751.07</v>
      </c>
      <c r="CC40" s="14">
        <v>0.0630196712273639</v>
      </c>
      <c r="CD40" s="10">
        <v>2185</v>
      </c>
      <c r="CE40" s="14">
        <v>0.07181830134104654</v>
      </c>
      <c r="CF40" s="56"/>
      <c r="CG40" s="55"/>
      <c r="CH40" s="56"/>
      <c r="CI40" s="9">
        <v>1108481.54</v>
      </c>
      <c r="CJ40" s="14">
        <v>0.059127334446114045</v>
      </c>
      <c r="CK40" s="10">
        <v>1537</v>
      </c>
      <c r="CL40" s="14">
        <v>0.06460697772173182</v>
      </c>
      <c r="CM40" s="56"/>
      <c r="CN40" s="55"/>
      <c r="CO40" s="56"/>
      <c r="CP40" s="9">
        <v>891676.8899999993</v>
      </c>
      <c r="CQ40" s="14">
        <v>0.06227758796644117</v>
      </c>
      <c r="CR40" s="10">
        <v>1244</v>
      </c>
      <c r="CS40" s="14">
        <v>0.06672745802714156</v>
      </c>
      <c r="CT40" s="56"/>
      <c r="CU40" s="55"/>
      <c r="CV40" s="56"/>
      <c r="CW40" s="9">
        <v>916121.27</v>
      </c>
      <c r="CX40" s="14">
        <v>0.06247533066834533</v>
      </c>
      <c r="CY40" s="10">
        <v>1261</v>
      </c>
      <c r="CZ40" s="14">
        <v>0.07164772727272728</v>
      </c>
      <c r="DA40" s="56"/>
      <c r="DB40" s="55"/>
      <c r="DC40" s="56"/>
    </row>
    <row r="41" spans="1:107" ht="12.75">
      <c r="A41" s="8" t="s">
        <v>34</v>
      </c>
      <c r="B41" s="8"/>
      <c r="C41" s="8"/>
      <c r="D41" s="9">
        <v>2164867.61</v>
      </c>
      <c r="E41" s="14">
        <f t="shared" si="5"/>
        <v>0.03593118122326449</v>
      </c>
      <c r="F41" s="10">
        <v>2574</v>
      </c>
      <c r="G41" s="14">
        <f t="shared" si="6"/>
        <v>0.03361498178209029</v>
      </c>
      <c r="H41" s="8"/>
      <c r="I41" s="8"/>
      <c r="J41" s="9">
        <v>1586644.22</v>
      </c>
      <c r="K41" s="14">
        <f t="shared" si="8"/>
        <v>0.03713690655261975</v>
      </c>
      <c r="L41" s="10">
        <v>2001</v>
      </c>
      <c r="M41" s="14">
        <f t="shared" si="9"/>
        <v>0.03278393079494069</v>
      </c>
      <c r="N41" s="56"/>
      <c r="O41" s="55"/>
      <c r="P41" s="56"/>
      <c r="Q41" s="9">
        <v>1974898.22</v>
      </c>
      <c r="R41" s="14">
        <v>0.039895445733964086</v>
      </c>
      <c r="S41" s="10">
        <v>2181</v>
      </c>
      <c r="T41" s="14">
        <f t="shared" si="7"/>
        <v>0.03323935075821077</v>
      </c>
      <c r="U41" s="56"/>
      <c r="V41" s="55"/>
      <c r="W41" s="56"/>
      <c r="X41" s="9">
        <v>1850126.7</v>
      </c>
      <c r="Y41" s="14">
        <v>0.04173498561831481</v>
      </c>
      <c r="Z41" s="10">
        <v>2050</v>
      </c>
      <c r="AA41" s="14">
        <v>0.03573296147812446</v>
      </c>
      <c r="AB41" s="56"/>
      <c r="AC41" s="55"/>
      <c r="AD41" s="56"/>
      <c r="AE41" s="9">
        <v>1630335.1</v>
      </c>
      <c r="AF41" s="14">
        <v>0.04360854326429206</v>
      </c>
      <c r="AG41" s="10">
        <v>1858</v>
      </c>
      <c r="AH41" s="14">
        <v>0.03728004173438472</v>
      </c>
      <c r="AI41" s="56"/>
      <c r="AJ41" s="55"/>
      <c r="AK41" s="56"/>
      <c r="AL41" s="9">
        <v>1559055.76</v>
      </c>
      <c r="AM41" s="14">
        <v>0.0446363200454508</v>
      </c>
      <c r="AN41" s="10">
        <v>1766</v>
      </c>
      <c r="AO41" s="14">
        <v>0.03757846579423343</v>
      </c>
      <c r="AP41" s="56"/>
      <c r="AQ41" s="55"/>
      <c r="AR41" s="56"/>
      <c r="AS41" s="9">
        <v>1425495.35</v>
      </c>
      <c r="AT41" s="14">
        <v>0.04453542528833362</v>
      </c>
      <c r="AU41" s="10">
        <v>1660</v>
      </c>
      <c r="AV41" s="14">
        <v>0.03942150134175592</v>
      </c>
      <c r="AW41" s="56"/>
      <c r="AX41" s="55"/>
      <c r="AY41" s="56"/>
      <c r="AZ41" s="9">
        <v>1507442.42</v>
      </c>
      <c r="BA41" s="14">
        <v>0.04297990317964369</v>
      </c>
      <c r="BB41" s="10">
        <v>1684</v>
      </c>
      <c r="BC41" s="14">
        <v>0.03919560562331254</v>
      </c>
      <c r="BD41" s="56"/>
      <c r="BE41" s="55"/>
      <c r="BF41" s="56"/>
      <c r="BG41" s="9">
        <v>1300513.42</v>
      </c>
      <c r="BH41" s="14">
        <v>0.04393704042013233</v>
      </c>
      <c r="BI41" s="10">
        <v>1510</v>
      </c>
      <c r="BJ41" s="14">
        <v>0.040455458807769594</v>
      </c>
      <c r="BK41" s="56"/>
      <c r="BL41" s="55"/>
      <c r="BM41" s="56"/>
      <c r="BN41" s="9">
        <v>1179664.08</v>
      </c>
      <c r="BO41" s="14">
        <v>0.04525893660847222</v>
      </c>
      <c r="BP41" s="10">
        <v>1382</v>
      </c>
      <c r="BQ41" s="14">
        <v>0.041980558930741194</v>
      </c>
      <c r="BR41" s="56"/>
      <c r="BS41" s="55"/>
      <c r="BT41" s="56"/>
      <c r="BU41" s="9">
        <v>1089677.03</v>
      </c>
      <c r="BV41" s="14">
        <v>0.044975542527762154</v>
      </c>
      <c r="BW41" s="10">
        <v>1292</v>
      </c>
      <c r="BX41" s="14">
        <v>0.04218224558425022</v>
      </c>
      <c r="BY41" s="56"/>
      <c r="BZ41" s="55"/>
      <c r="CA41" s="56"/>
      <c r="CB41" s="9">
        <v>1075887.11</v>
      </c>
      <c r="CC41" s="14">
        <v>0.04232995577144142</v>
      </c>
      <c r="CD41" s="10">
        <v>1260</v>
      </c>
      <c r="CE41" s="14">
        <v>0.04141467262687352</v>
      </c>
      <c r="CF41" s="56"/>
      <c r="CG41" s="55"/>
      <c r="CH41" s="56"/>
      <c r="CI41" s="9">
        <v>852340.33</v>
      </c>
      <c r="CJ41" s="14">
        <v>0.0454645476133244</v>
      </c>
      <c r="CK41" s="10">
        <v>1012</v>
      </c>
      <c r="CL41" s="14">
        <v>0.042538881883144176</v>
      </c>
      <c r="CM41" s="56"/>
      <c r="CN41" s="55"/>
      <c r="CO41" s="56"/>
      <c r="CP41" s="9">
        <v>709758.87</v>
      </c>
      <c r="CQ41" s="14">
        <v>0.04957184710863923</v>
      </c>
      <c r="CR41" s="10">
        <v>838</v>
      </c>
      <c r="CS41" s="14">
        <v>0.04494984712760822</v>
      </c>
      <c r="CT41" s="56"/>
      <c r="CU41" s="55"/>
      <c r="CV41" s="56"/>
      <c r="CW41" s="9">
        <v>699302.55</v>
      </c>
      <c r="CX41" s="14">
        <v>0.04768927376663473</v>
      </c>
      <c r="CY41" s="10">
        <v>772</v>
      </c>
      <c r="CZ41" s="14">
        <v>0.04386363636363636</v>
      </c>
      <c r="DA41" s="56"/>
      <c r="DB41" s="55"/>
      <c r="DC41" s="56"/>
    </row>
    <row r="42" spans="1:107" ht="12.75">
      <c r="A42" s="8" t="s">
        <v>35</v>
      </c>
      <c r="B42" s="8"/>
      <c r="C42" s="8"/>
      <c r="D42" s="9">
        <v>5949263.31</v>
      </c>
      <c r="E42" s="14">
        <f t="shared" si="5"/>
        <v>0.09874232361789936</v>
      </c>
      <c r="F42" s="10">
        <v>6780</v>
      </c>
      <c r="G42" s="14">
        <f t="shared" si="6"/>
        <v>0.0885429590064383</v>
      </c>
      <c r="H42" s="8"/>
      <c r="I42" s="8"/>
      <c r="J42" s="9">
        <v>4225355.7</v>
      </c>
      <c r="K42" s="14">
        <f t="shared" si="8"/>
        <v>0.09889844100177622</v>
      </c>
      <c r="L42" s="10">
        <v>5442</v>
      </c>
      <c r="M42" s="14">
        <f t="shared" si="9"/>
        <v>0.08916049544531096</v>
      </c>
      <c r="N42" s="56"/>
      <c r="O42" s="55"/>
      <c r="P42" s="56"/>
      <c r="Q42" s="9">
        <v>4867981.139999984</v>
      </c>
      <c r="R42" s="14">
        <v>0.09833938551265198</v>
      </c>
      <c r="S42" s="10">
        <v>5888</v>
      </c>
      <c r="T42" s="14">
        <f t="shared" si="7"/>
        <v>0.08973557875485788</v>
      </c>
      <c r="U42" s="56"/>
      <c r="V42" s="55"/>
      <c r="W42" s="56"/>
      <c r="X42" s="9">
        <v>4339408.009999984</v>
      </c>
      <c r="Y42" s="14">
        <v>0.09788796134305257</v>
      </c>
      <c r="Z42" s="10">
        <v>5193</v>
      </c>
      <c r="AA42" s="14">
        <v>0.0905176921736099</v>
      </c>
      <c r="AB42" s="56"/>
      <c r="AC42" s="55"/>
      <c r="AD42" s="56"/>
      <c r="AE42" s="9">
        <v>3727206.9100000095</v>
      </c>
      <c r="AF42" s="14">
        <v>0.0996961077447844</v>
      </c>
      <c r="AG42" s="10">
        <v>4619</v>
      </c>
      <c r="AH42" s="14">
        <v>0.09267842452697686</v>
      </c>
      <c r="AI42" s="56"/>
      <c r="AJ42" s="55"/>
      <c r="AK42" s="56"/>
      <c r="AL42" s="9">
        <v>3474935.25</v>
      </c>
      <c r="AM42" s="14">
        <v>0.0994886301925586</v>
      </c>
      <c r="AN42" s="10">
        <v>4409</v>
      </c>
      <c r="AO42" s="14">
        <v>0.09381849132886477</v>
      </c>
      <c r="AP42" s="56"/>
      <c r="AQ42" s="55"/>
      <c r="AR42" s="56"/>
      <c r="AS42" s="9">
        <v>3141710.0699999947</v>
      </c>
      <c r="AT42" s="14">
        <v>0.09815352543948341</v>
      </c>
      <c r="AU42" s="10">
        <v>3949</v>
      </c>
      <c r="AV42" s="14">
        <v>0.0937804269871049</v>
      </c>
      <c r="AW42" s="56"/>
      <c r="AX42" s="55"/>
      <c r="AY42" s="56"/>
      <c r="AZ42" s="9">
        <v>3369563.41</v>
      </c>
      <c r="BA42" s="14">
        <v>0.09607233231466963</v>
      </c>
      <c r="BB42" s="10">
        <v>3882</v>
      </c>
      <c r="BC42" s="14">
        <v>0.09035471557583093</v>
      </c>
      <c r="BD42" s="56"/>
      <c r="BE42" s="55"/>
      <c r="BF42" s="56"/>
      <c r="BG42" s="9">
        <v>2830705.25</v>
      </c>
      <c r="BH42" s="14">
        <v>0.09563362367051226</v>
      </c>
      <c r="BI42" s="10">
        <v>3439</v>
      </c>
      <c r="BJ42" s="14">
        <v>0.09213663764233088</v>
      </c>
      <c r="BK42" s="56"/>
      <c r="BL42" s="55"/>
      <c r="BM42" s="56"/>
      <c r="BN42" s="9">
        <v>2438096.28</v>
      </c>
      <c r="BO42" s="14">
        <v>0.09353988720405229</v>
      </c>
      <c r="BP42" s="10">
        <v>2976</v>
      </c>
      <c r="BQ42" s="14">
        <v>0.09040097205346294</v>
      </c>
      <c r="BR42" s="56"/>
      <c r="BS42" s="55"/>
      <c r="BT42" s="56"/>
      <c r="BU42" s="9">
        <v>2148675.8700000057</v>
      </c>
      <c r="BV42" s="14">
        <v>0.08868486745064406</v>
      </c>
      <c r="BW42" s="10">
        <v>2589</v>
      </c>
      <c r="BX42" s="14">
        <v>0.08452773515295961</v>
      </c>
      <c r="BY42" s="56"/>
      <c r="BZ42" s="55"/>
      <c r="CA42" s="56"/>
      <c r="CB42" s="9">
        <v>2341949.14</v>
      </c>
      <c r="CC42" s="14">
        <v>0.09214219837169066</v>
      </c>
      <c r="CD42" s="10">
        <v>2493</v>
      </c>
      <c r="CE42" s="14">
        <v>0.08194188798317117</v>
      </c>
      <c r="CF42" s="56"/>
      <c r="CG42" s="55"/>
      <c r="CH42" s="56"/>
      <c r="CI42" s="9">
        <v>1765449.38</v>
      </c>
      <c r="CJ42" s="14">
        <v>0.09417054968632542</v>
      </c>
      <c r="CK42" s="10">
        <v>2014</v>
      </c>
      <c r="CL42" s="14">
        <v>0.08465741908364859</v>
      </c>
      <c r="CM42" s="56"/>
      <c r="CN42" s="55"/>
      <c r="CO42" s="56"/>
      <c r="CP42" s="9">
        <v>1247286.5</v>
      </c>
      <c r="CQ42" s="14">
        <v>0.08711450929619195</v>
      </c>
      <c r="CR42" s="10">
        <v>1504</v>
      </c>
      <c r="CS42" s="14">
        <v>0.08067371131255699</v>
      </c>
      <c r="CT42" s="56"/>
      <c r="CU42" s="55"/>
      <c r="CV42" s="56"/>
      <c r="CW42" s="9">
        <v>1322285.96</v>
      </c>
      <c r="CX42" s="14">
        <v>0.09017392707093291</v>
      </c>
      <c r="CY42" s="10">
        <v>1405</v>
      </c>
      <c r="CZ42" s="14">
        <v>0.07982954545454546</v>
      </c>
      <c r="DA42" s="56"/>
      <c r="DB42" s="55"/>
      <c r="DC42" s="56"/>
    </row>
    <row r="43" spans="1:107" ht="12.75">
      <c r="A43" s="8" t="s">
        <v>42</v>
      </c>
      <c r="B43" s="8"/>
      <c r="C43" s="8"/>
      <c r="D43" s="9">
        <v>2099603.7</v>
      </c>
      <c r="E43" s="14">
        <f t="shared" si="5"/>
        <v>0.03484796977572992</v>
      </c>
      <c r="F43" s="10">
        <v>2689</v>
      </c>
      <c r="G43" s="14">
        <f t="shared" si="6"/>
        <v>0.03511681663249448</v>
      </c>
      <c r="H43" s="8"/>
      <c r="I43" s="8"/>
      <c r="J43" s="9">
        <v>1493981.66</v>
      </c>
      <c r="K43" s="14">
        <f t="shared" si="8"/>
        <v>0.034968051816145485</v>
      </c>
      <c r="L43" s="10">
        <v>2155</v>
      </c>
      <c r="M43" s="14">
        <f t="shared" si="9"/>
        <v>0.0353070319155908</v>
      </c>
      <c r="N43" s="56"/>
      <c r="O43" s="55"/>
      <c r="P43" s="56"/>
      <c r="Q43" s="9">
        <v>1833219.72</v>
      </c>
      <c r="R43" s="14">
        <v>0.03703336056361076</v>
      </c>
      <c r="S43" s="10">
        <v>2399</v>
      </c>
      <c r="T43" s="14">
        <f t="shared" si="7"/>
        <v>0.036561761792273106</v>
      </c>
      <c r="U43" s="56"/>
      <c r="V43" s="55"/>
      <c r="W43" s="56"/>
      <c r="X43" s="9">
        <v>1298756.22</v>
      </c>
      <c r="Y43" s="14">
        <v>0.029297221732650473</v>
      </c>
      <c r="Z43" s="10">
        <v>1708</v>
      </c>
      <c r="AA43" s="14">
        <v>0.029771657660798326</v>
      </c>
      <c r="AB43" s="56"/>
      <c r="AC43" s="55"/>
      <c r="AD43" s="56"/>
      <c r="AE43" s="9">
        <v>1142465.87</v>
      </c>
      <c r="AF43" s="14">
        <v>0.030558915354194447</v>
      </c>
      <c r="AG43" s="10">
        <v>1468</v>
      </c>
      <c r="AH43" s="14">
        <v>0.029454844599610747</v>
      </c>
      <c r="AI43" s="56"/>
      <c r="AJ43" s="55"/>
      <c r="AK43" s="56"/>
      <c r="AL43" s="9">
        <v>1050857.62</v>
      </c>
      <c r="AM43" s="14">
        <v>0.03008642683089194</v>
      </c>
      <c r="AN43" s="10">
        <v>1386</v>
      </c>
      <c r="AO43" s="14">
        <v>0.02949249920204277</v>
      </c>
      <c r="AP43" s="56"/>
      <c r="AQ43" s="55"/>
      <c r="AR43" s="56"/>
      <c r="AS43" s="9">
        <v>977258.7200000009</v>
      </c>
      <c r="AT43" s="14">
        <v>0.03053158518681428</v>
      </c>
      <c r="AU43" s="10">
        <v>1254</v>
      </c>
      <c r="AV43" s="14">
        <v>0.029779857037687905</v>
      </c>
      <c r="AW43" s="56"/>
      <c r="AX43" s="55"/>
      <c r="AY43" s="56"/>
      <c r="AZ43" s="9">
        <v>1016659.58</v>
      </c>
      <c r="BA43" s="14">
        <v>0.028986798922016038</v>
      </c>
      <c r="BB43" s="10">
        <v>1191</v>
      </c>
      <c r="BC43" s="14">
        <v>0.027720882599385533</v>
      </c>
      <c r="BD43" s="56"/>
      <c r="BE43" s="55"/>
      <c r="BF43" s="56"/>
      <c r="BG43" s="9">
        <v>873444.98</v>
      </c>
      <c r="BH43" s="14">
        <v>0.029508797680089835</v>
      </c>
      <c r="BI43" s="10">
        <v>1006</v>
      </c>
      <c r="BJ43" s="14">
        <v>0.02695244474212994</v>
      </c>
      <c r="BK43" s="56"/>
      <c r="BL43" s="55"/>
      <c r="BM43" s="56"/>
      <c r="BN43" s="9">
        <v>797468.5700000009</v>
      </c>
      <c r="BO43" s="14">
        <v>0.0305956416481538</v>
      </c>
      <c r="BP43" s="10">
        <v>913</v>
      </c>
      <c r="BQ43" s="14">
        <v>0.02773390036452005</v>
      </c>
      <c r="BR43" s="56"/>
      <c r="BS43" s="55"/>
      <c r="BT43" s="56"/>
      <c r="BU43" s="9">
        <v>740506.43</v>
      </c>
      <c r="BV43" s="14">
        <v>0.030563806997515836</v>
      </c>
      <c r="BW43" s="10">
        <v>865</v>
      </c>
      <c r="BX43" s="14">
        <v>0.028241209311436873</v>
      </c>
      <c r="BY43" s="56"/>
      <c r="BZ43" s="55"/>
      <c r="CA43" s="56"/>
      <c r="CB43" s="9">
        <v>736964.41</v>
      </c>
      <c r="CC43" s="14">
        <v>0.02899530126392753</v>
      </c>
      <c r="CD43" s="10">
        <v>808</v>
      </c>
      <c r="CE43" s="14">
        <v>0.02655798054167762</v>
      </c>
      <c r="CF43" s="56"/>
      <c r="CG43" s="55"/>
      <c r="CH43" s="56"/>
      <c r="CI43" s="9">
        <v>588529.18</v>
      </c>
      <c r="CJ43" s="14">
        <v>0.03139263975217592</v>
      </c>
      <c r="CK43" s="10">
        <v>699</v>
      </c>
      <c r="CL43" s="14">
        <v>0.029382093316519545</v>
      </c>
      <c r="CM43" s="56"/>
      <c r="CN43" s="55"/>
      <c r="CO43" s="56"/>
      <c r="CP43" s="9">
        <v>478530.63</v>
      </c>
      <c r="CQ43" s="14">
        <v>0.033422121553987515</v>
      </c>
      <c r="CR43" s="10">
        <v>618</v>
      </c>
      <c r="CS43" s="14">
        <v>0.03314917127071823</v>
      </c>
      <c r="CT43" s="56"/>
      <c r="CU43" s="55"/>
      <c r="CV43" s="56"/>
      <c r="CW43" s="9">
        <v>470495.79</v>
      </c>
      <c r="CX43" s="14">
        <v>0.032085686710793614</v>
      </c>
      <c r="CY43" s="10">
        <v>570</v>
      </c>
      <c r="CZ43" s="14">
        <v>0.03238636363636364</v>
      </c>
      <c r="DA43" s="56"/>
      <c r="DB43" s="55"/>
      <c r="DC43" s="56"/>
    </row>
    <row r="44" spans="1:107" ht="12.75">
      <c r="A44" s="8" t="s">
        <v>36</v>
      </c>
      <c r="B44" s="8"/>
      <c r="C44" s="8"/>
      <c r="D44" s="9">
        <v>15234804.27</v>
      </c>
      <c r="E44" s="14">
        <f t="shared" si="5"/>
        <v>0.2528581935439155</v>
      </c>
      <c r="F44" s="10">
        <v>19005</v>
      </c>
      <c r="G44" s="14">
        <f t="shared" si="6"/>
        <v>0.24819453332114452</v>
      </c>
      <c r="H44" s="8"/>
      <c r="I44" s="8"/>
      <c r="J44" s="9">
        <v>10373464.679999985</v>
      </c>
      <c r="K44" s="14">
        <f t="shared" si="8"/>
        <v>0.24280073856006676</v>
      </c>
      <c r="L44" s="10">
        <v>14622</v>
      </c>
      <c r="M44" s="14">
        <f t="shared" si="9"/>
        <v>0.23956353627367455</v>
      </c>
      <c r="N44" s="56"/>
      <c r="O44" s="55"/>
      <c r="P44" s="56"/>
      <c r="Q44" s="9">
        <v>12242083.310000023</v>
      </c>
      <c r="R44" s="14">
        <v>0.24730559044444014</v>
      </c>
      <c r="S44" s="10">
        <v>15721</v>
      </c>
      <c r="T44" s="14">
        <f t="shared" si="7"/>
        <v>0.23959460489217405</v>
      </c>
      <c r="U44" s="56"/>
      <c r="V44" s="55"/>
      <c r="W44" s="56"/>
      <c r="X44" s="9">
        <v>10852253.520000007</v>
      </c>
      <c r="Y44" s="14">
        <v>0.24480412318978292</v>
      </c>
      <c r="Z44" s="10">
        <v>13495</v>
      </c>
      <c r="AA44" s="14">
        <v>0.23522747080355585</v>
      </c>
      <c r="AB44" s="56"/>
      <c r="AC44" s="55"/>
      <c r="AD44" s="56"/>
      <c r="AE44" s="9">
        <v>9017919.239999969</v>
      </c>
      <c r="AF44" s="14">
        <v>0.24121318453576243</v>
      </c>
      <c r="AG44" s="10">
        <v>11619</v>
      </c>
      <c r="AH44" s="14">
        <v>0.2331306807921507</v>
      </c>
      <c r="AI44" s="56"/>
      <c r="AJ44" s="55"/>
      <c r="AK44" s="56"/>
      <c r="AL44" s="9">
        <v>8851203.65999997</v>
      </c>
      <c r="AM44" s="14">
        <v>0.2534131039387736</v>
      </c>
      <c r="AN44" s="10">
        <v>11315</v>
      </c>
      <c r="AO44" s="14">
        <v>0.24077029471220343</v>
      </c>
      <c r="AP44" s="56"/>
      <c r="AQ44" s="55"/>
      <c r="AR44" s="56"/>
      <c r="AS44" s="9">
        <v>8222543.950000022</v>
      </c>
      <c r="AT44" s="14">
        <v>0.25688929238896924</v>
      </c>
      <c r="AU44" s="10">
        <v>10574</v>
      </c>
      <c r="AV44" s="14">
        <v>0.2511102139685103</v>
      </c>
      <c r="AW44" s="56"/>
      <c r="AX44" s="55"/>
      <c r="AY44" s="56"/>
      <c r="AZ44" s="9">
        <v>9233245.049999997</v>
      </c>
      <c r="BA44" s="14">
        <v>0.26325647535043106</v>
      </c>
      <c r="BB44" s="10">
        <v>10872</v>
      </c>
      <c r="BC44" s="14">
        <v>0.2530490643329299</v>
      </c>
      <c r="BD44" s="56"/>
      <c r="BE44" s="55"/>
      <c r="BF44" s="56"/>
      <c r="BG44" s="9">
        <v>7835996.170000003</v>
      </c>
      <c r="BH44" s="14">
        <v>0.26473427736969635</v>
      </c>
      <c r="BI44" s="10">
        <v>9472</v>
      </c>
      <c r="BJ44" s="14">
        <v>0.2537709310113865</v>
      </c>
      <c r="BK44" s="56"/>
      <c r="BL44" s="55"/>
      <c r="BM44" s="56"/>
      <c r="BN44" s="9">
        <v>7114809.61000002</v>
      </c>
      <c r="BO44" s="14">
        <v>0.2729664508563658</v>
      </c>
      <c r="BP44" s="10">
        <v>8667</v>
      </c>
      <c r="BQ44" s="14">
        <v>0.26327460510328066</v>
      </c>
      <c r="BR44" s="56"/>
      <c r="BS44" s="55"/>
      <c r="BT44" s="56"/>
      <c r="BU44" s="9">
        <v>6599572.190000005</v>
      </c>
      <c r="BV44" s="14">
        <v>0.27239203133095435</v>
      </c>
      <c r="BW44" s="10">
        <v>8112</v>
      </c>
      <c r="BX44" s="14">
        <v>0.26484704038656176</v>
      </c>
      <c r="BY44" s="56"/>
      <c r="BZ44" s="55"/>
      <c r="CA44" s="56"/>
      <c r="CB44" s="9">
        <v>7020022.190000011</v>
      </c>
      <c r="CC44" s="14">
        <v>0.276197405894413</v>
      </c>
      <c r="CD44" s="10">
        <v>8007</v>
      </c>
      <c r="CE44" s="14">
        <v>0.2631803839074415</v>
      </c>
      <c r="CF44" s="56"/>
      <c r="CG44" s="55"/>
      <c r="CH44" s="56"/>
      <c r="CI44" s="9">
        <v>5147388.199999985</v>
      </c>
      <c r="CJ44" s="14">
        <v>0.2745660010047436</v>
      </c>
      <c r="CK44" s="10">
        <v>6395</v>
      </c>
      <c r="CL44" s="14">
        <v>0.2688104245481295</v>
      </c>
      <c r="CM44" s="56"/>
      <c r="CN44" s="55"/>
      <c r="CO44" s="56"/>
      <c r="CP44" s="9">
        <v>3794166.32</v>
      </c>
      <c r="CQ44" s="14">
        <v>0.26499680478778403</v>
      </c>
      <c r="CR44" s="10">
        <v>4996</v>
      </c>
      <c r="CS44" s="14">
        <v>0.2679826208228289</v>
      </c>
      <c r="CT44" s="56"/>
      <c r="CU44" s="55"/>
      <c r="CV44" s="56"/>
      <c r="CW44" s="9">
        <v>3827736.15</v>
      </c>
      <c r="CX44" s="14">
        <v>0.2610343079169298</v>
      </c>
      <c r="CY44" s="10">
        <v>4659</v>
      </c>
      <c r="CZ44" s="14">
        <v>0.2647159090909091</v>
      </c>
      <c r="DA44" s="56"/>
      <c r="DB44" s="55"/>
      <c r="DC44" s="56"/>
    </row>
    <row r="45" spans="1:107" ht="12.75">
      <c r="A45" s="8" t="s">
        <v>37</v>
      </c>
      <c r="B45" s="8"/>
      <c r="C45" s="8"/>
      <c r="D45" s="9">
        <v>3550647.93</v>
      </c>
      <c r="E45" s="14">
        <f t="shared" si="5"/>
        <v>0.05893153634130955</v>
      </c>
      <c r="F45" s="10">
        <v>5033</v>
      </c>
      <c r="G45" s="14">
        <f t="shared" si="6"/>
        <v>0.0657281287137764</v>
      </c>
      <c r="H45" s="8"/>
      <c r="I45" s="8"/>
      <c r="J45" s="9">
        <v>2434807.77</v>
      </c>
      <c r="K45" s="14">
        <f t="shared" si="8"/>
        <v>0.05698897552980245</v>
      </c>
      <c r="L45" s="10">
        <v>3891</v>
      </c>
      <c r="M45" s="14">
        <f t="shared" si="9"/>
        <v>0.06374926273019202</v>
      </c>
      <c r="N45" s="56"/>
      <c r="O45" s="55"/>
      <c r="P45" s="56"/>
      <c r="Q45" s="9">
        <v>2817052.469999992</v>
      </c>
      <c r="R45" s="14">
        <v>0.056908028377591166</v>
      </c>
      <c r="S45" s="10">
        <v>4129</v>
      </c>
      <c r="T45" s="14">
        <f t="shared" si="7"/>
        <v>0.0629276842185476</v>
      </c>
      <c r="U45" s="56"/>
      <c r="V45" s="55"/>
      <c r="W45" s="56"/>
      <c r="X45" s="9">
        <v>2437363.89</v>
      </c>
      <c r="Y45" s="14">
        <v>0.054981827404441935</v>
      </c>
      <c r="Z45" s="10">
        <v>3504</v>
      </c>
      <c r="AA45" s="14">
        <v>0.06107721805821858</v>
      </c>
      <c r="AB45" s="56"/>
      <c r="AC45" s="55"/>
      <c r="AD45" s="56"/>
      <c r="AE45" s="9">
        <v>1979873.74</v>
      </c>
      <c r="AF45" s="14">
        <v>0.052958075703961605</v>
      </c>
      <c r="AG45" s="10">
        <v>2963</v>
      </c>
      <c r="AH45" s="14">
        <v>0.059451433616244304</v>
      </c>
      <c r="AI45" s="56"/>
      <c r="AJ45" s="55"/>
      <c r="AK45" s="56"/>
      <c r="AL45" s="9">
        <v>1903628.12</v>
      </c>
      <c r="AM45" s="14">
        <v>0.05450154907342094</v>
      </c>
      <c r="AN45" s="10">
        <v>2823</v>
      </c>
      <c r="AO45" s="14">
        <v>0.06007022023619534</v>
      </c>
      <c r="AP45" s="56"/>
      <c r="AQ45" s="55"/>
      <c r="AR45" s="56"/>
      <c r="AS45" s="9">
        <v>1719434.7</v>
      </c>
      <c r="AT45" s="14">
        <v>0.05371869899120918</v>
      </c>
      <c r="AU45" s="10">
        <v>2470</v>
      </c>
      <c r="AV45" s="14">
        <v>0.05865729416514284</v>
      </c>
      <c r="AW45" s="56"/>
      <c r="AX45" s="55"/>
      <c r="AY45" s="56"/>
      <c r="AZ45" s="9">
        <v>1960214.5</v>
      </c>
      <c r="BA45" s="14">
        <v>0.0558892520892</v>
      </c>
      <c r="BB45" s="10">
        <v>2528</v>
      </c>
      <c r="BC45" s="14">
        <v>0.05883995903547156</v>
      </c>
      <c r="BD45" s="56"/>
      <c r="BE45" s="55"/>
      <c r="BF45" s="56"/>
      <c r="BG45" s="9">
        <v>1749443.17</v>
      </c>
      <c r="BH45" s="14">
        <v>0.059103853978695914</v>
      </c>
      <c r="BI45" s="10">
        <v>2259</v>
      </c>
      <c r="BJ45" s="14">
        <v>0.060522438044206296</v>
      </c>
      <c r="BK45" s="56"/>
      <c r="BL45" s="55"/>
      <c r="BM45" s="56"/>
      <c r="BN45" s="9">
        <v>1511150.4</v>
      </c>
      <c r="BO45" s="14">
        <v>0.057976725170327675</v>
      </c>
      <c r="BP45" s="10">
        <v>2006</v>
      </c>
      <c r="BQ45" s="14">
        <v>0.0609356014580802</v>
      </c>
      <c r="BR45" s="56"/>
      <c r="BS45" s="55"/>
      <c r="BT45" s="56"/>
      <c r="BU45" s="9">
        <v>1414097.37</v>
      </c>
      <c r="BV45" s="14">
        <v>0.058365730993550996</v>
      </c>
      <c r="BW45" s="10">
        <v>1867</v>
      </c>
      <c r="BX45" s="14">
        <v>0.06095530379705508</v>
      </c>
      <c r="BY45" s="56"/>
      <c r="BZ45" s="55"/>
      <c r="CA45" s="56"/>
      <c r="CB45" s="9">
        <v>1431431.8</v>
      </c>
      <c r="CC45" s="14">
        <v>0.056318589767131444</v>
      </c>
      <c r="CD45" s="10">
        <v>1783</v>
      </c>
      <c r="CE45" s="14">
        <v>0.05860504864580594</v>
      </c>
      <c r="CF45" s="56"/>
      <c r="CG45" s="55"/>
      <c r="CH45" s="56"/>
      <c r="CI45" s="9">
        <v>1088480.93</v>
      </c>
      <c r="CJ45" s="14">
        <v>0.05806048514468454</v>
      </c>
      <c r="CK45" s="10">
        <v>1421</v>
      </c>
      <c r="CL45" s="14">
        <v>0.05973097940311055</v>
      </c>
      <c r="CM45" s="56"/>
      <c r="CN45" s="55"/>
      <c r="CO45" s="56"/>
      <c r="CP45" s="9">
        <v>871992.469999999</v>
      </c>
      <c r="CQ45" s="14">
        <v>0.060902764628675415</v>
      </c>
      <c r="CR45" s="10">
        <v>1142</v>
      </c>
      <c r="CS45" s="14">
        <v>0.06125623558440165</v>
      </c>
      <c r="CT45" s="56"/>
      <c r="CU45" s="55"/>
      <c r="CV45" s="56"/>
      <c r="CW45" s="9">
        <v>874929.43</v>
      </c>
      <c r="CX45" s="14">
        <v>0.0596662333259841</v>
      </c>
      <c r="CY45" s="10">
        <v>1037</v>
      </c>
      <c r="CZ45" s="14">
        <v>0.05892045454545455</v>
      </c>
      <c r="DA45" s="56"/>
      <c r="DB45" s="55"/>
      <c r="DC45" s="56"/>
    </row>
    <row r="46" spans="1:107" ht="12.75">
      <c r="A46" s="8" t="s">
        <v>38</v>
      </c>
      <c r="B46" s="8"/>
      <c r="C46" s="8"/>
      <c r="D46" s="9">
        <v>2546991.64</v>
      </c>
      <c r="E46" s="14">
        <f t="shared" si="5"/>
        <v>0.04227344793198677</v>
      </c>
      <c r="F46" s="10">
        <v>2841</v>
      </c>
      <c r="G46" s="14">
        <f t="shared" si="6"/>
        <v>0.03710185052172437</v>
      </c>
      <c r="H46" s="8"/>
      <c r="I46" s="8"/>
      <c r="J46" s="9">
        <v>1889634.5</v>
      </c>
      <c r="K46" s="14">
        <f t="shared" si="8"/>
        <v>0.04422868022996759</v>
      </c>
      <c r="L46" s="10">
        <v>2308</v>
      </c>
      <c r="M46" s="14">
        <f t="shared" si="9"/>
        <v>0.03781374926273019</v>
      </c>
      <c r="N46" s="56"/>
      <c r="O46" s="55"/>
      <c r="P46" s="56"/>
      <c r="Q46" s="9">
        <v>2168486.2900000075</v>
      </c>
      <c r="R46" s="14">
        <v>0.043806169974440756</v>
      </c>
      <c r="S46" s="10">
        <v>2410</v>
      </c>
      <c r="T46" s="14">
        <f t="shared" si="7"/>
        <v>0.03672940638573497</v>
      </c>
      <c r="U46" s="56"/>
      <c r="V46" s="55"/>
      <c r="W46" s="56"/>
      <c r="X46" s="9">
        <v>1888228.57</v>
      </c>
      <c r="Y46" s="14">
        <v>0.042594484049682156</v>
      </c>
      <c r="Z46" s="10">
        <v>2107</v>
      </c>
      <c r="AA46" s="14">
        <v>0.03672651211434547</v>
      </c>
      <c r="AB46" s="56"/>
      <c r="AC46" s="55"/>
      <c r="AD46" s="56"/>
      <c r="AE46" s="9">
        <v>1583920.68</v>
      </c>
      <c r="AF46" s="14">
        <v>0.04236704067831629</v>
      </c>
      <c r="AG46" s="10">
        <v>1751</v>
      </c>
      <c r="AH46" s="14">
        <v>0.03513312867433135</v>
      </c>
      <c r="AI46" s="56"/>
      <c r="AJ46" s="55"/>
      <c r="AK46" s="56"/>
      <c r="AL46" s="9">
        <v>1513580.94</v>
      </c>
      <c r="AM46" s="14">
        <v>0.04333435980027691</v>
      </c>
      <c r="AN46" s="10">
        <v>1680</v>
      </c>
      <c r="AO46" s="14">
        <v>0.03574848388126396</v>
      </c>
      <c r="AP46" s="56"/>
      <c r="AQ46" s="55"/>
      <c r="AR46" s="56"/>
      <c r="AS46" s="9">
        <v>1363058.14</v>
      </c>
      <c r="AT46" s="14">
        <v>0.042584757612590673</v>
      </c>
      <c r="AU46" s="10">
        <v>1523</v>
      </c>
      <c r="AV46" s="14">
        <v>0.03616804008644233</v>
      </c>
      <c r="AW46" s="56"/>
      <c r="AX46" s="55"/>
      <c r="AY46" s="56"/>
      <c r="AZ46" s="9">
        <v>1478159.38</v>
      </c>
      <c r="BA46" s="14">
        <v>0.04214499087565956</v>
      </c>
      <c r="BB46" s="10">
        <v>1582</v>
      </c>
      <c r="BC46" s="14">
        <v>0.03682152499767247</v>
      </c>
      <c r="BD46" s="56"/>
      <c r="BE46" s="55"/>
      <c r="BF46" s="56"/>
      <c r="BG46" s="9">
        <v>1282011.7</v>
      </c>
      <c r="BH46" s="14">
        <v>0.043311971268995136</v>
      </c>
      <c r="BI46" s="10">
        <v>1373</v>
      </c>
      <c r="BJ46" s="14">
        <v>0.036784996651038175</v>
      </c>
      <c r="BK46" s="56"/>
      <c r="BL46" s="55"/>
      <c r="BM46" s="56"/>
      <c r="BN46" s="9">
        <v>1228268.09</v>
      </c>
      <c r="BO46" s="14">
        <v>0.04712367577007114</v>
      </c>
      <c r="BP46" s="10">
        <v>1304</v>
      </c>
      <c r="BQ46" s="14">
        <v>0.039611178614823814</v>
      </c>
      <c r="BR46" s="56"/>
      <c r="BS46" s="55"/>
      <c r="BT46" s="56"/>
      <c r="BU46" s="9">
        <v>1170762.86</v>
      </c>
      <c r="BV46" s="14">
        <v>0.04832229490957919</v>
      </c>
      <c r="BW46" s="10">
        <v>1244</v>
      </c>
      <c r="BX46" s="14">
        <v>0.04061510333344216</v>
      </c>
      <c r="BY46" s="56"/>
      <c r="BZ46" s="55"/>
      <c r="CA46" s="56"/>
      <c r="CB46" s="9">
        <v>1224256.92</v>
      </c>
      <c r="CC46" s="14">
        <v>0.04816745250947468</v>
      </c>
      <c r="CD46" s="10">
        <v>1236</v>
      </c>
      <c r="CE46" s="14">
        <v>0.04062582171969498</v>
      </c>
      <c r="CF46" s="56"/>
      <c r="CG46" s="55"/>
      <c r="CH46" s="56"/>
      <c r="CI46" s="9">
        <v>956444.83</v>
      </c>
      <c r="CJ46" s="14">
        <v>0.051017568901207504</v>
      </c>
      <c r="CK46" s="10">
        <v>1010</v>
      </c>
      <c r="CL46" s="14">
        <v>0.042454812946616224</v>
      </c>
      <c r="CM46" s="56"/>
      <c r="CN46" s="55"/>
      <c r="CO46" s="56"/>
      <c r="CP46" s="9">
        <v>769181.29</v>
      </c>
      <c r="CQ46" s="14">
        <v>0.05372210044617816</v>
      </c>
      <c r="CR46" s="10">
        <v>857</v>
      </c>
      <c r="CS46" s="14">
        <v>0.04596899640615781</v>
      </c>
      <c r="CT46" s="56"/>
      <c r="CU46" s="55"/>
      <c r="CV46" s="56"/>
      <c r="CW46" s="9">
        <v>769126.43</v>
      </c>
      <c r="CX46" s="14">
        <v>0.052450946849006086</v>
      </c>
      <c r="CY46" s="10">
        <v>790</v>
      </c>
      <c r="CZ46" s="14">
        <v>0.044886363636363634</v>
      </c>
      <c r="DA46" s="56"/>
      <c r="DB46" s="55"/>
      <c r="DC46" s="56"/>
    </row>
    <row r="47" spans="1:107" ht="12.75">
      <c r="A47" s="8" t="s">
        <v>39</v>
      </c>
      <c r="B47" s="8"/>
      <c r="C47" s="8"/>
      <c r="D47" s="9">
        <v>5218602.26</v>
      </c>
      <c r="E47" s="14">
        <f t="shared" si="5"/>
        <v>0.08661524735741122</v>
      </c>
      <c r="F47" s="10">
        <v>6840</v>
      </c>
      <c r="G47" s="14">
        <f t="shared" si="6"/>
        <v>0.08932652501534484</v>
      </c>
      <c r="H47" s="8"/>
      <c r="I47" s="8"/>
      <c r="J47" s="9">
        <v>3921989.5500000077</v>
      </c>
      <c r="K47" s="14">
        <f t="shared" si="8"/>
        <v>0.0917978697320698</v>
      </c>
      <c r="L47" s="10">
        <v>5665</v>
      </c>
      <c r="M47" s="14">
        <f t="shared" si="9"/>
        <v>0.0928140769382004</v>
      </c>
      <c r="N47" s="56"/>
      <c r="O47" s="55"/>
      <c r="P47" s="56"/>
      <c r="Q47" s="9">
        <v>4180175.0499999775</v>
      </c>
      <c r="R47" s="14">
        <v>0.08444483122059064</v>
      </c>
      <c r="S47" s="10">
        <v>5850</v>
      </c>
      <c r="T47" s="14">
        <f t="shared" si="7"/>
        <v>0.0891564428865351</v>
      </c>
      <c r="U47" s="56"/>
      <c r="V47" s="55"/>
      <c r="W47" s="56"/>
      <c r="X47" s="9">
        <v>3787810.6</v>
      </c>
      <c r="Y47" s="14">
        <v>0.08544507839160441</v>
      </c>
      <c r="Z47" s="10">
        <v>5254</v>
      </c>
      <c r="AA47" s="14">
        <v>0.09158096566149555</v>
      </c>
      <c r="AB47" s="56"/>
      <c r="AC47" s="55"/>
      <c r="AD47" s="56"/>
      <c r="AE47" s="9">
        <v>3207827.48</v>
      </c>
      <c r="AF47" s="14">
        <v>0.08580363843357414</v>
      </c>
      <c r="AG47" s="10">
        <v>4654</v>
      </c>
      <c r="AH47" s="14">
        <v>0.09338068580830274</v>
      </c>
      <c r="AI47" s="56"/>
      <c r="AJ47" s="55"/>
      <c r="AK47" s="56"/>
      <c r="AL47" s="9">
        <v>2847915.31</v>
      </c>
      <c r="AM47" s="14">
        <v>0.08153682664916304</v>
      </c>
      <c r="AN47" s="10">
        <v>4244</v>
      </c>
      <c r="AO47" s="14">
        <v>0.09030747951909777</v>
      </c>
      <c r="AP47" s="56"/>
      <c r="AQ47" s="55"/>
      <c r="AR47" s="56"/>
      <c r="AS47" s="9">
        <v>2562480.94</v>
      </c>
      <c r="AT47" s="14">
        <v>0.08005720850380121</v>
      </c>
      <c r="AU47" s="10">
        <v>3767</v>
      </c>
      <c r="AV47" s="14">
        <v>0.08945831057493647</v>
      </c>
      <c r="AW47" s="56"/>
      <c r="AX47" s="55"/>
      <c r="AY47" s="56"/>
      <c r="AZ47" s="9">
        <v>2646337.64</v>
      </c>
      <c r="BA47" s="14">
        <v>0.07545186074029059</v>
      </c>
      <c r="BB47" s="10">
        <v>3557</v>
      </c>
      <c r="BC47" s="14">
        <v>0.08279024299413462</v>
      </c>
      <c r="BD47" s="56"/>
      <c r="BE47" s="55"/>
      <c r="BF47" s="56"/>
      <c r="BG47" s="9">
        <v>2168310.56</v>
      </c>
      <c r="BH47" s="14">
        <v>0.07325502932381885</v>
      </c>
      <c r="BI47" s="10">
        <v>3056</v>
      </c>
      <c r="BJ47" s="14">
        <v>0.08187541862022774</v>
      </c>
      <c r="BK47" s="56"/>
      <c r="BL47" s="55"/>
      <c r="BM47" s="56"/>
      <c r="BN47" s="9">
        <v>1770838.98</v>
      </c>
      <c r="BO47" s="14">
        <v>0.06793992501630776</v>
      </c>
      <c r="BP47" s="10">
        <v>2522</v>
      </c>
      <c r="BQ47" s="14">
        <v>0.07660996354799514</v>
      </c>
      <c r="BR47" s="56"/>
      <c r="BS47" s="55"/>
      <c r="BT47" s="56"/>
      <c r="BU47" s="9">
        <v>1516980.28</v>
      </c>
      <c r="BV47" s="14">
        <v>0.06261214031181</v>
      </c>
      <c r="BW47" s="10">
        <v>2130</v>
      </c>
      <c r="BX47" s="14">
        <v>0.06954193737960757</v>
      </c>
      <c r="BY47" s="56"/>
      <c r="BZ47" s="55"/>
      <c r="CA47" s="56"/>
      <c r="CB47" s="9">
        <v>1591505.01</v>
      </c>
      <c r="CC47" s="14">
        <v>0.06261654783030837</v>
      </c>
      <c r="CD47" s="10">
        <v>2044</v>
      </c>
      <c r="CE47" s="14">
        <v>0.0671838022613726</v>
      </c>
      <c r="CF47" s="56"/>
      <c r="CG47" s="55"/>
      <c r="CH47" s="56"/>
      <c r="CI47" s="9">
        <v>1187143.73</v>
      </c>
      <c r="CJ47" s="14">
        <v>0.0633232415934659</v>
      </c>
      <c r="CK47" s="10">
        <v>1671</v>
      </c>
      <c r="CL47" s="14">
        <v>0.07023959646910466</v>
      </c>
      <c r="CM47" s="56"/>
      <c r="CN47" s="55"/>
      <c r="CO47" s="56"/>
      <c r="CP47" s="9">
        <v>901301.89</v>
      </c>
      <c r="CQ47" s="14">
        <v>0.06294982898883335</v>
      </c>
      <c r="CR47" s="10">
        <v>1297</v>
      </c>
      <c r="CS47" s="14">
        <v>0.06957034811993777</v>
      </c>
      <c r="CT47" s="56"/>
      <c r="CU47" s="55"/>
      <c r="CV47" s="56"/>
      <c r="CW47" s="9">
        <v>960269.240000001</v>
      </c>
      <c r="CX47" s="14">
        <v>0.06548602271797566</v>
      </c>
      <c r="CY47" s="10">
        <v>1228</v>
      </c>
      <c r="CZ47" s="14">
        <v>0.06977272727272728</v>
      </c>
      <c r="DA47" s="56"/>
      <c r="DB47" s="55"/>
      <c r="DC47" s="56"/>
    </row>
    <row r="48" spans="1:107" ht="12.75">
      <c r="A48" s="8" t="s">
        <v>40</v>
      </c>
      <c r="B48" s="8"/>
      <c r="C48" s="8"/>
      <c r="D48" s="9">
        <v>8389356.87</v>
      </c>
      <c r="E48" s="14">
        <f t="shared" si="5"/>
        <v>0.13924154098393524</v>
      </c>
      <c r="F48" s="10">
        <v>11909</v>
      </c>
      <c r="G48" s="14">
        <f t="shared" si="6"/>
        <v>0.15552479333446514</v>
      </c>
      <c r="H48" s="8"/>
      <c r="I48" s="8"/>
      <c r="J48" s="9">
        <v>6186894.969999985</v>
      </c>
      <c r="K48" s="14">
        <f t="shared" si="8"/>
        <v>0.14481012028756052</v>
      </c>
      <c r="L48" s="10">
        <v>10240</v>
      </c>
      <c r="M48" s="14">
        <f t="shared" si="9"/>
        <v>0.16776984074972148</v>
      </c>
      <c r="N48" s="56"/>
      <c r="O48" s="55"/>
      <c r="P48" s="56"/>
      <c r="Q48" s="9">
        <v>6334587.479999972</v>
      </c>
      <c r="R48" s="14">
        <v>0.127966691395057</v>
      </c>
      <c r="S48" s="10">
        <v>10834</v>
      </c>
      <c r="T48" s="14">
        <f t="shared" si="7"/>
        <v>0.1651146841423455</v>
      </c>
      <c r="U48" s="56"/>
      <c r="V48" s="55"/>
      <c r="W48" s="56"/>
      <c r="X48" s="9">
        <v>5613380.590000013</v>
      </c>
      <c r="Y48" s="14">
        <v>0.12662611603506832</v>
      </c>
      <c r="Z48" s="10">
        <v>9104</v>
      </c>
      <c r="AA48" s="14">
        <v>0.1586892103887049</v>
      </c>
      <c r="AB48" s="56"/>
      <c r="AC48" s="55"/>
      <c r="AD48" s="56"/>
      <c r="AE48" s="9">
        <v>4602276.530000007</v>
      </c>
      <c r="AF48" s="14">
        <v>0.12310265243798123</v>
      </c>
      <c r="AG48" s="10">
        <v>7364</v>
      </c>
      <c r="AH48" s="14">
        <v>0.1477557735909629</v>
      </c>
      <c r="AI48" s="56"/>
      <c r="AJ48" s="55"/>
      <c r="AK48" s="56"/>
      <c r="AL48" s="9">
        <v>3944460.38</v>
      </c>
      <c r="AM48" s="14">
        <v>0.1129313013976358</v>
      </c>
      <c r="AN48" s="10">
        <v>6273</v>
      </c>
      <c r="AO48" s="14">
        <v>0.13348228534950526</v>
      </c>
      <c r="AP48" s="56"/>
      <c r="AQ48" s="55"/>
      <c r="AR48" s="56"/>
      <c r="AS48" s="9">
        <v>3542677.77</v>
      </c>
      <c r="AT48" s="14">
        <v>0.11068058632844757</v>
      </c>
      <c r="AU48" s="10">
        <v>5067</v>
      </c>
      <c r="AV48" s="14">
        <v>0.12033057066185376</v>
      </c>
      <c r="AW48" s="56"/>
      <c r="AX48" s="55"/>
      <c r="AY48" s="56"/>
      <c r="AZ48" s="9">
        <v>3703872.27</v>
      </c>
      <c r="BA48" s="14">
        <v>0.10560408108613988</v>
      </c>
      <c r="BB48" s="10">
        <v>4802</v>
      </c>
      <c r="BC48" s="14">
        <v>0.1117679918070943</v>
      </c>
      <c r="BD48" s="56"/>
      <c r="BE48" s="55"/>
      <c r="BF48" s="56"/>
      <c r="BG48" s="9">
        <v>3146614.33</v>
      </c>
      <c r="BH48" s="14">
        <v>0.1063064162796396</v>
      </c>
      <c r="BI48" s="10">
        <v>4086</v>
      </c>
      <c r="BJ48" s="14">
        <v>0.10947086403215003</v>
      </c>
      <c r="BK48" s="56"/>
      <c r="BL48" s="55"/>
      <c r="BM48" s="56"/>
      <c r="BN48" s="9">
        <v>2831603.94</v>
      </c>
      <c r="BO48" s="14">
        <v>0.10863718357921032</v>
      </c>
      <c r="BP48" s="10">
        <v>3644</v>
      </c>
      <c r="BQ48" s="14">
        <v>0.11069258809234508</v>
      </c>
      <c r="BR48" s="56"/>
      <c r="BS48" s="55"/>
      <c r="BT48" s="56"/>
      <c r="BU48" s="9">
        <v>2685552.9700000114</v>
      </c>
      <c r="BV48" s="14">
        <v>0.11084403771711453</v>
      </c>
      <c r="BW48" s="10">
        <v>3453</v>
      </c>
      <c r="BX48" s="14">
        <v>0.11273629566750465</v>
      </c>
      <c r="BY48" s="56"/>
      <c r="BZ48" s="55"/>
      <c r="CA48" s="56"/>
      <c r="CB48" s="9">
        <v>2929008.6899999934</v>
      </c>
      <c r="CC48" s="14">
        <v>0.11523960752895993</v>
      </c>
      <c r="CD48" s="10">
        <v>3608</v>
      </c>
      <c r="CE48" s="14">
        <v>0.11859058637917434</v>
      </c>
      <c r="CF48" s="56"/>
      <c r="CG48" s="55"/>
      <c r="CH48" s="56"/>
      <c r="CI48" s="9">
        <v>2281251.94</v>
      </c>
      <c r="CJ48" s="14">
        <v>0.1216838905700009</v>
      </c>
      <c r="CK48" s="10">
        <v>2950</v>
      </c>
      <c r="CL48" s="14">
        <v>0.12400168137873056</v>
      </c>
      <c r="CM48" s="56"/>
      <c r="CN48" s="55"/>
      <c r="CO48" s="56"/>
      <c r="CP48" s="9">
        <v>1837711.57</v>
      </c>
      <c r="CQ48" s="14">
        <v>0.1283516991873838</v>
      </c>
      <c r="CR48" s="10">
        <v>2429</v>
      </c>
      <c r="CS48" s="14">
        <v>0.13029018934720807</v>
      </c>
      <c r="CT48" s="56"/>
      <c r="CU48" s="55"/>
      <c r="CV48" s="56"/>
      <c r="CW48" s="9">
        <v>1794532.03</v>
      </c>
      <c r="CX48" s="14">
        <v>0.12237897496822361</v>
      </c>
      <c r="CY48" s="10">
        <v>2226</v>
      </c>
      <c r="CZ48" s="14">
        <v>0.12647727272727272</v>
      </c>
      <c r="DA48" s="56"/>
      <c r="DB48" s="55"/>
      <c r="DC48" s="56"/>
    </row>
    <row r="49" spans="1:107" ht="12.75">
      <c r="A49" s="8" t="s">
        <v>41</v>
      </c>
      <c r="B49" s="8"/>
      <c r="C49" s="8"/>
      <c r="D49" s="9">
        <v>315582.65</v>
      </c>
      <c r="E49" s="14">
        <f t="shared" si="5"/>
        <v>0.005237852576152706</v>
      </c>
      <c r="F49" s="10">
        <v>352</v>
      </c>
      <c r="G49" s="14">
        <f t="shared" si="6"/>
        <v>0.004596920585584997</v>
      </c>
      <c r="H49" s="8"/>
      <c r="I49" s="8"/>
      <c r="J49" s="9">
        <v>281516.86</v>
      </c>
      <c r="K49" s="14">
        <f t="shared" si="8"/>
        <v>0.006589168000628987</v>
      </c>
      <c r="L49" s="10">
        <v>335</v>
      </c>
      <c r="M49" s="14">
        <f t="shared" si="9"/>
        <v>0.005488564126089521</v>
      </c>
      <c r="N49" s="56"/>
      <c r="O49" s="55"/>
      <c r="P49" s="56"/>
      <c r="Q49" s="9">
        <v>338592.56</v>
      </c>
      <c r="R49" s="14">
        <v>0.0068399986220069485</v>
      </c>
      <c r="S49" s="10">
        <v>367</v>
      </c>
      <c r="T49" s="14">
        <f t="shared" si="7"/>
        <v>0.005593233254591176</v>
      </c>
      <c r="U49" s="56"/>
      <c r="V49" s="55"/>
      <c r="W49" s="56"/>
      <c r="X49" s="9">
        <v>311644.68</v>
      </c>
      <c r="Y49" s="14">
        <v>0.0070300516379901545</v>
      </c>
      <c r="Z49" s="10">
        <v>342</v>
      </c>
      <c r="AA49" s="14">
        <v>0.005961303817326129</v>
      </c>
      <c r="AB49" s="56"/>
      <c r="AC49" s="55"/>
      <c r="AD49" s="56"/>
      <c r="AE49" s="9">
        <v>278718.54</v>
      </c>
      <c r="AF49" s="14">
        <v>0.007455221635202688</v>
      </c>
      <c r="AG49" s="10">
        <v>308</v>
      </c>
      <c r="AH49" s="14">
        <v>0.00617989927566765</v>
      </c>
      <c r="AI49" s="56"/>
      <c r="AJ49" s="55"/>
      <c r="AK49" s="56"/>
      <c r="AL49" s="9">
        <v>340891.05</v>
      </c>
      <c r="AM49" s="14">
        <v>0.009759831815399434</v>
      </c>
      <c r="AN49" s="10">
        <v>347</v>
      </c>
      <c r="AO49" s="14">
        <v>0.007383764230237259</v>
      </c>
      <c r="AP49" s="56"/>
      <c r="AQ49" s="55"/>
      <c r="AR49" s="56"/>
      <c r="AS49" s="9">
        <v>360868.54</v>
      </c>
      <c r="AT49" s="14">
        <v>0.011274280131520629</v>
      </c>
      <c r="AU49" s="10">
        <v>351</v>
      </c>
      <c r="AV49" s="14">
        <v>0.008335510223467667</v>
      </c>
      <c r="AW49" s="56"/>
      <c r="AX49" s="55"/>
      <c r="AY49" s="56"/>
      <c r="AZ49" s="9">
        <v>375694.03</v>
      </c>
      <c r="BA49" s="14">
        <v>0.010711714636881545</v>
      </c>
      <c r="BB49" s="10">
        <v>360</v>
      </c>
      <c r="BC49" s="14">
        <v>0.008379108090494367</v>
      </c>
      <c r="BD49" s="56"/>
      <c r="BE49" s="55"/>
      <c r="BF49" s="56"/>
      <c r="BG49" s="9">
        <v>331949.06</v>
      </c>
      <c r="BH49" s="14">
        <v>0.011214693399046152</v>
      </c>
      <c r="BI49" s="10">
        <v>323</v>
      </c>
      <c r="BJ49" s="14">
        <v>0.008653717347622237</v>
      </c>
      <c r="BK49" s="56"/>
      <c r="BL49" s="55"/>
      <c r="BM49" s="56"/>
      <c r="BN49" s="9">
        <v>311103.21</v>
      </c>
      <c r="BO49" s="14">
        <v>0.011935771122303075</v>
      </c>
      <c r="BP49" s="10">
        <v>313</v>
      </c>
      <c r="BQ49" s="14">
        <v>0.00950789793438639</v>
      </c>
      <c r="BR49" s="56"/>
      <c r="BS49" s="55"/>
      <c r="BT49" s="56"/>
      <c r="BU49" s="9">
        <v>278777.74</v>
      </c>
      <c r="BV49" s="14">
        <v>0.01150632688032656</v>
      </c>
      <c r="BW49" s="10">
        <v>293</v>
      </c>
      <c r="BX49" s="14">
        <v>0.009566097489307519</v>
      </c>
      <c r="BY49" s="56"/>
      <c r="BZ49" s="55"/>
      <c r="CA49" s="56"/>
      <c r="CB49" s="9">
        <v>289823.12</v>
      </c>
      <c r="CC49" s="14">
        <v>0.011402869071589793</v>
      </c>
      <c r="CD49" s="10">
        <v>303</v>
      </c>
      <c r="CE49" s="14">
        <v>0.009959242703129109</v>
      </c>
      <c r="CF49" s="56"/>
      <c r="CG49" s="55"/>
      <c r="CH49" s="56"/>
      <c r="CI49" s="9">
        <v>243453.77</v>
      </c>
      <c r="CJ49" s="14">
        <v>0.012986028148883116</v>
      </c>
      <c r="CK49" s="10">
        <v>265</v>
      </c>
      <c r="CL49" s="14">
        <v>0.011139134089953762</v>
      </c>
      <c r="CM49" s="56"/>
      <c r="CN49" s="55"/>
      <c r="CO49" s="56"/>
      <c r="CP49" s="9">
        <v>206395.24</v>
      </c>
      <c r="CQ49" s="14">
        <v>0.014415308795268589</v>
      </c>
      <c r="CR49" s="10">
        <v>238</v>
      </c>
      <c r="CS49" s="14">
        <v>0.01276618569972644</v>
      </c>
      <c r="CT49" s="56"/>
      <c r="CU49" s="55"/>
      <c r="CV49" s="56"/>
      <c r="CW49" s="9">
        <v>182776.38</v>
      </c>
      <c r="CX49" s="14">
        <v>0.012464523150808562</v>
      </c>
      <c r="CY49" s="10">
        <v>206</v>
      </c>
      <c r="CZ49" s="14">
        <v>0.011704545454545455</v>
      </c>
      <c r="DA49" s="56"/>
      <c r="DB49" s="55"/>
      <c r="DC49" s="56"/>
    </row>
    <row r="50" spans="1:107" ht="12.75">
      <c r="A50" s="8" t="s">
        <v>105</v>
      </c>
      <c r="B50" s="8"/>
      <c r="C50" s="8"/>
      <c r="D50" s="9">
        <v>1585000.22</v>
      </c>
      <c r="E50" s="14">
        <f t="shared" si="5"/>
        <v>0.0263068881813674</v>
      </c>
      <c r="F50" s="10">
        <v>2328</v>
      </c>
      <c r="G50" s="14">
        <f t="shared" si="6"/>
        <v>0.030402361145573504</v>
      </c>
      <c r="H50" s="8"/>
      <c r="I50" s="8"/>
      <c r="J50" s="9">
        <v>1049144.78</v>
      </c>
      <c r="K50" s="14">
        <f t="shared" si="8"/>
        <v>0.024556224491857924</v>
      </c>
      <c r="L50" s="10">
        <v>1732</v>
      </c>
      <c r="M50" s="14">
        <f t="shared" si="9"/>
        <v>0.02837669572055836</v>
      </c>
      <c r="N50" s="56"/>
      <c r="O50" s="55"/>
      <c r="P50" s="56"/>
      <c r="Q50" s="9">
        <v>1054378.2</v>
      </c>
      <c r="R50" s="14">
        <v>0.021299775266988116</v>
      </c>
      <c r="S50" s="10">
        <v>1539</v>
      </c>
      <c r="T50" s="14">
        <f t="shared" si="7"/>
        <v>0.023455002667073076</v>
      </c>
      <c r="U50" s="56"/>
      <c r="V50" s="55"/>
      <c r="W50" s="56"/>
      <c r="X50" s="9">
        <v>881051.9599999984</v>
      </c>
      <c r="Y50" s="14">
        <v>0.019874687976552098</v>
      </c>
      <c r="Z50" s="10">
        <v>1264</v>
      </c>
      <c r="AA50" s="14">
        <v>0.022032421126024056</v>
      </c>
      <c r="AB50" s="56"/>
      <c r="AC50" s="55"/>
      <c r="AD50" s="56"/>
      <c r="AE50" s="9">
        <v>687725.7299999993</v>
      </c>
      <c r="AF50" s="14">
        <v>0.018395431252551595</v>
      </c>
      <c r="AG50" s="10">
        <v>1039</v>
      </c>
      <c r="AH50" s="14">
        <v>0.020847127751359378</v>
      </c>
      <c r="AI50" s="56"/>
      <c r="AJ50" s="55"/>
      <c r="AK50" s="56"/>
      <c r="AL50" s="9">
        <v>583327.77</v>
      </c>
      <c r="AM50" s="14">
        <v>0.01670088120075903</v>
      </c>
      <c r="AN50" s="10">
        <v>876</v>
      </c>
      <c r="AO50" s="14">
        <v>0.01864028088094478</v>
      </c>
      <c r="AP50" s="56"/>
      <c r="AQ50" s="55"/>
      <c r="AR50" s="56"/>
      <c r="AS50" s="9">
        <v>529374.69</v>
      </c>
      <c r="AT50" s="14">
        <v>0.016538761039122146</v>
      </c>
      <c r="AU50" s="10">
        <v>794</v>
      </c>
      <c r="AV50" s="14">
        <v>0.018855826545394097</v>
      </c>
      <c r="AW50" s="56"/>
      <c r="AX50" s="55"/>
      <c r="AY50" s="56"/>
      <c r="AZ50" s="9">
        <v>488032.59</v>
      </c>
      <c r="BA50" s="14">
        <v>0.013914689668021103</v>
      </c>
      <c r="BB50" s="10">
        <v>690</v>
      </c>
      <c r="BC50" s="14">
        <v>0.016059957173447537</v>
      </c>
      <c r="BD50" s="56"/>
      <c r="BE50" s="55"/>
      <c r="BF50" s="56"/>
      <c r="BG50" s="9">
        <v>428718.71</v>
      </c>
      <c r="BH50" s="14">
        <v>0.014483996089895786</v>
      </c>
      <c r="BI50" s="10">
        <v>585</v>
      </c>
      <c r="BJ50" s="14">
        <v>0.015673141326188883</v>
      </c>
      <c r="BK50" s="56"/>
      <c r="BL50" s="55"/>
      <c r="BM50" s="56"/>
      <c r="BN50" s="9">
        <v>399742.02</v>
      </c>
      <c r="BO50" s="14">
        <v>0.01533648353768866</v>
      </c>
      <c r="BP50" s="10">
        <v>525</v>
      </c>
      <c r="BQ50" s="14">
        <v>0.01594775212636695</v>
      </c>
      <c r="BR50" s="56"/>
      <c r="BS50" s="55"/>
      <c r="BT50" s="56"/>
      <c r="BU50" s="9">
        <v>384585.18</v>
      </c>
      <c r="BV50" s="14">
        <v>0.015873443820906302</v>
      </c>
      <c r="BW50" s="10">
        <v>498</v>
      </c>
      <c r="BX50" s="14">
        <v>0.0162591008521336</v>
      </c>
      <c r="BY50" s="56"/>
      <c r="BZ50" s="55"/>
      <c r="CA50" s="56"/>
      <c r="CB50" s="9">
        <v>352459.02</v>
      </c>
      <c r="CC50" s="14">
        <v>0.013867230668694913</v>
      </c>
      <c r="CD50" s="10">
        <v>435</v>
      </c>
      <c r="CE50" s="14">
        <v>0.014297922692611096</v>
      </c>
      <c r="CF50" s="56"/>
      <c r="CG50" s="55"/>
      <c r="CH50" s="56"/>
      <c r="CI50" s="9">
        <v>267140.94</v>
      </c>
      <c r="CJ50" s="14">
        <v>0.014249521650698179</v>
      </c>
      <c r="CK50" s="10">
        <v>353</v>
      </c>
      <c r="CL50" s="14">
        <v>0.01483816729718369</v>
      </c>
      <c r="CM50" s="56"/>
      <c r="CN50" s="55"/>
      <c r="CO50" s="56"/>
      <c r="CP50" s="9">
        <v>219899.59</v>
      </c>
      <c r="CQ50" s="14">
        <v>0.015358496125215669</v>
      </c>
      <c r="CR50" s="10">
        <v>290</v>
      </c>
      <c r="CS50" s="14">
        <v>0.015555436356809527</v>
      </c>
      <c r="CT50" s="56"/>
      <c r="CU50" s="55"/>
      <c r="CV50" s="56"/>
      <c r="CW50" s="9">
        <v>202747.35</v>
      </c>
      <c r="CX50" s="14">
        <v>0.013826453056133862</v>
      </c>
      <c r="CY50" s="10">
        <v>260</v>
      </c>
      <c r="CZ50" s="14">
        <v>0.014772727272727272</v>
      </c>
      <c r="DA50" s="56"/>
      <c r="DB50" s="55"/>
      <c r="DC50" s="56"/>
    </row>
    <row r="51" spans="1:107" ht="12.75">
      <c r="A51" s="8"/>
      <c r="B51" s="8"/>
      <c r="C51" s="8"/>
      <c r="D51" s="9"/>
      <c r="E51" s="8"/>
      <c r="F51" s="10"/>
      <c r="G51" s="8"/>
      <c r="H51" s="8"/>
      <c r="I51" s="8"/>
      <c r="J51" s="9"/>
      <c r="K51" s="8"/>
      <c r="L51" s="10"/>
      <c r="M51" s="8"/>
      <c r="N51" s="54"/>
      <c r="O51" s="55"/>
      <c r="P51" s="54"/>
      <c r="Q51" s="9"/>
      <c r="R51" s="8"/>
      <c r="S51" s="10"/>
      <c r="T51" s="8"/>
      <c r="U51" s="54"/>
      <c r="V51" s="55"/>
      <c r="W51" s="54"/>
      <c r="X51" s="9"/>
      <c r="Y51" s="8"/>
      <c r="Z51" s="10"/>
      <c r="AA51" s="8"/>
      <c r="AB51" s="54"/>
      <c r="AC51" s="55"/>
      <c r="AD51" s="54"/>
      <c r="AE51" s="9"/>
      <c r="AF51" s="8"/>
      <c r="AG51" s="10"/>
      <c r="AH51" s="8"/>
      <c r="AI51" s="54"/>
      <c r="AJ51" s="55"/>
      <c r="AK51" s="54"/>
      <c r="AL51" s="9"/>
      <c r="AM51" s="8"/>
      <c r="AN51" s="10"/>
      <c r="AO51" s="8"/>
      <c r="AP51" s="54"/>
      <c r="AQ51" s="55"/>
      <c r="AR51" s="54"/>
      <c r="AS51" s="9"/>
      <c r="AT51" s="8"/>
      <c r="AU51" s="10"/>
      <c r="AV51" s="8"/>
      <c r="AW51" s="54"/>
      <c r="AX51" s="55"/>
      <c r="AY51" s="54"/>
      <c r="AZ51" s="9"/>
      <c r="BA51" s="8"/>
      <c r="BB51" s="10"/>
      <c r="BC51" s="8"/>
      <c r="BD51" s="54"/>
      <c r="BE51" s="55"/>
      <c r="BF51" s="54"/>
      <c r="BG51" s="9"/>
      <c r="BH51" s="8"/>
      <c r="BI51" s="10"/>
      <c r="BJ51" s="8"/>
      <c r="BK51" s="54"/>
      <c r="BL51" s="55"/>
      <c r="BM51" s="54"/>
      <c r="BN51" s="9"/>
      <c r="BO51" s="8"/>
      <c r="BP51" s="10"/>
      <c r="BQ51" s="8"/>
      <c r="BR51" s="54"/>
      <c r="BS51" s="55"/>
      <c r="BT51" s="54"/>
      <c r="BU51" s="9"/>
      <c r="BV51" s="8"/>
      <c r="BW51" s="10"/>
      <c r="BX51" s="8"/>
      <c r="BY51" s="54"/>
      <c r="BZ51" s="55"/>
      <c r="CA51" s="54"/>
      <c r="CB51" s="9"/>
      <c r="CC51" s="8"/>
      <c r="CD51" s="10"/>
      <c r="CE51" s="8"/>
      <c r="CF51" s="54"/>
      <c r="CG51" s="55"/>
      <c r="CH51" s="54"/>
      <c r="CI51" s="9"/>
      <c r="CJ51" s="8"/>
      <c r="CK51" s="10"/>
      <c r="CL51" s="8"/>
      <c r="CM51" s="54"/>
      <c r="CN51" s="55"/>
      <c r="CO51" s="54"/>
      <c r="CP51" s="9"/>
      <c r="CQ51" s="8"/>
      <c r="CR51" s="10"/>
      <c r="CS51" s="8"/>
      <c r="CT51" s="54"/>
      <c r="CU51" s="55"/>
      <c r="CV51" s="54"/>
      <c r="CW51" s="9"/>
      <c r="CX51" s="8"/>
      <c r="CY51" s="10"/>
      <c r="CZ51" s="8"/>
      <c r="DA51" s="54"/>
      <c r="DB51" s="55"/>
      <c r="DC51" s="54"/>
    </row>
    <row r="52" spans="1:107" ht="13.5" thickBot="1">
      <c r="A52" s="8"/>
      <c r="B52" s="12"/>
      <c r="C52" s="12"/>
      <c r="D52" s="21">
        <f>SUM(D38:D51)</f>
        <v>60250387.99999999</v>
      </c>
      <c r="E52" s="23"/>
      <c r="F52" s="22">
        <f>SUM(F38:F51)</f>
        <v>76573</v>
      </c>
      <c r="G52" s="23"/>
      <c r="H52" s="8"/>
      <c r="I52" s="8"/>
      <c r="J52" s="21">
        <f>SUM(J38:J50)</f>
        <v>42724189.149999976</v>
      </c>
      <c r="K52" s="23"/>
      <c r="L52" s="22">
        <f>SUM(L38:L51)</f>
        <v>61036</v>
      </c>
      <c r="M52" s="23"/>
      <c r="N52" s="57"/>
      <c r="O52" s="31"/>
      <c r="P52" s="57"/>
      <c r="Q52" s="21">
        <f>SUM(Q38:Q50)</f>
        <v>49501846.22999996</v>
      </c>
      <c r="R52" s="23"/>
      <c r="S52" s="22">
        <f>SUM(S38:S51)</f>
        <v>65615</v>
      </c>
      <c r="T52" s="23"/>
      <c r="U52" s="57"/>
      <c r="V52" s="31"/>
      <c r="W52" s="57"/>
      <c r="X52" s="21">
        <f>SUM(X38:X50)</f>
        <v>44330354.32000001</v>
      </c>
      <c r="Y52" s="23"/>
      <c r="Z52" s="22">
        <f>SUM(Z38:Z51)</f>
        <v>57370</v>
      </c>
      <c r="AA52" s="23"/>
      <c r="AB52" s="57"/>
      <c r="AC52" s="31"/>
      <c r="AD52" s="57"/>
      <c r="AE52" s="21">
        <f>SUM(AE38:AE50)</f>
        <v>37385681.289999984</v>
      </c>
      <c r="AF52" s="23"/>
      <c r="AG52" s="22">
        <f>SUM(AG38:AG51)</f>
        <v>49839</v>
      </c>
      <c r="AH52" s="23"/>
      <c r="AI52" s="57"/>
      <c r="AJ52" s="31"/>
      <c r="AK52" s="57"/>
      <c r="AL52" s="21">
        <f>SUM(AL38:AL50)</f>
        <v>34927963.55999998</v>
      </c>
      <c r="AM52" s="23"/>
      <c r="AN52" s="22">
        <f>SUM(AN38:AN51)</f>
        <v>46995</v>
      </c>
      <c r="AO52" s="23"/>
      <c r="AP52" s="57"/>
      <c r="AQ52" s="31"/>
      <c r="AR52" s="57"/>
      <c r="AS52" s="21">
        <f>SUM(AS38:AS50)</f>
        <v>32008122.54000003</v>
      </c>
      <c r="AT52" s="23"/>
      <c r="AU52" s="22">
        <f>SUM(AU38:AU51)</f>
        <v>42109</v>
      </c>
      <c r="AV52" s="23"/>
      <c r="AW52" s="57"/>
      <c r="AX52" s="31"/>
      <c r="AY52" s="57"/>
      <c r="AZ52" s="21">
        <f>SUM(AZ38:AZ50)</f>
        <v>35073192.55000001</v>
      </c>
      <c r="BA52" s="23"/>
      <c r="BB52" s="22">
        <f>SUM(BB38:BB51)</f>
        <v>42964</v>
      </c>
      <c r="BC52" s="23"/>
      <c r="BD52" s="57"/>
      <c r="BE52" s="31"/>
      <c r="BF52" s="57"/>
      <c r="BG52" s="21">
        <f>SUM(BG38:BG50)</f>
        <v>29599477.05999999</v>
      </c>
      <c r="BH52" s="23"/>
      <c r="BI52" s="22">
        <f>SUM(BI38:BI51)</f>
        <v>37325</v>
      </c>
      <c r="BJ52" s="23"/>
      <c r="BK52" s="57"/>
      <c r="BL52" s="31"/>
      <c r="BM52" s="57"/>
      <c r="BN52" s="21">
        <f>SUM(BN38:BN50)</f>
        <v>26064776.78000002</v>
      </c>
      <c r="BO52" s="23"/>
      <c r="BP52" s="22">
        <f>SUM(BP38:BP51)</f>
        <v>32920</v>
      </c>
      <c r="BQ52" s="23"/>
      <c r="BR52" s="57"/>
      <c r="BS52" s="31"/>
      <c r="BT52" s="57"/>
      <c r="BU52" s="21">
        <f>SUM(BU38:BU50)</f>
        <v>24228213.13000002</v>
      </c>
      <c r="BV52" s="23"/>
      <c r="BW52" s="22">
        <f>SUM(BW38:BW51)</f>
        <v>30629</v>
      </c>
      <c r="BX52" s="23"/>
      <c r="BY52" s="57"/>
      <c r="BZ52" s="31"/>
      <c r="CA52" s="57"/>
      <c r="CB52" s="21">
        <f>SUM(CB38:CB50)</f>
        <v>25416684.010000013</v>
      </c>
      <c r="CC52" s="23"/>
      <c r="CD52" s="22">
        <f>SUM(CD38:CD51)</f>
        <v>30424</v>
      </c>
      <c r="CE52" s="23"/>
      <c r="CF52" s="57"/>
      <c r="CG52" s="31"/>
      <c r="CH52" s="57"/>
      <c r="CI52" s="21">
        <f>SUM(CI38:CI50)</f>
        <v>18747361.949999988</v>
      </c>
      <c r="CJ52" s="23"/>
      <c r="CK52" s="22">
        <f>SUM(CK38:CK51)</f>
        <v>23790</v>
      </c>
      <c r="CL52" s="23"/>
      <c r="CM52" s="57"/>
      <c r="CN52" s="31"/>
      <c r="CO52" s="57"/>
      <c r="CP52" s="21">
        <f>SUM(CP38:CP50)</f>
        <v>14317781.389999999</v>
      </c>
      <c r="CQ52" s="23"/>
      <c r="CR52" s="22">
        <f>SUM(CR38:CR51)</f>
        <v>18643</v>
      </c>
      <c r="CS52" s="23"/>
      <c r="CT52" s="57"/>
      <c r="CU52" s="31"/>
      <c r="CV52" s="57"/>
      <c r="CW52" s="21">
        <f>SUM(CW38:CW50)</f>
        <v>14663728.23</v>
      </c>
      <c r="CX52" s="23"/>
      <c r="CY52" s="22">
        <f>SUM(CY38:CY51)</f>
        <v>17600</v>
      </c>
      <c r="CZ52" s="23"/>
      <c r="DA52" s="57"/>
      <c r="DB52" s="31"/>
      <c r="DC52" s="57"/>
    </row>
    <row r="53" spans="1:107" ht="13.5" thickTop="1">
      <c r="A53" s="8"/>
      <c r="B53" s="8"/>
      <c r="C53" s="8"/>
      <c r="D53" s="9"/>
      <c r="E53" s="8"/>
      <c r="F53" s="10"/>
      <c r="G53" s="8"/>
      <c r="H53" s="8"/>
      <c r="I53" s="8"/>
      <c r="J53" s="9"/>
      <c r="K53" s="8"/>
      <c r="L53" s="10"/>
      <c r="M53" s="8"/>
      <c r="N53" s="8"/>
      <c r="O53" s="10"/>
      <c r="P53" s="8"/>
      <c r="Q53" s="9"/>
      <c r="R53" s="8"/>
      <c r="S53" s="10"/>
      <c r="T53" s="8"/>
      <c r="U53" s="8"/>
      <c r="V53" s="10"/>
      <c r="W53" s="8"/>
      <c r="X53" s="9"/>
      <c r="Y53" s="8"/>
      <c r="Z53" s="10"/>
      <c r="AA53" s="8"/>
      <c r="AB53" s="8"/>
      <c r="AC53" s="10"/>
      <c r="AD53" s="8"/>
      <c r="AE53" s="9"/>
      <c r="AF53" s="8"/>
      <c r="AG53" s="10"/>
      <c r="AH53" s="8"/>
      <c r="AI53" s="8"/>
      <c r="AJ53" s="10"/>
      <c r="AK53" s="8"/>
      <c r="AL53" s="9"/>
      <c r="AM53" s="8"/>
      <c r="AN53" s="10"/>
      <c r="AO53" s="8"/>
      <c r="AP53" s="8"/>
      <c r="AQ53" s="10"/>
      <c r="AR53" s="8"/>
      <c r="AS53" s="9"/>
      <c r="AT53" s="8"/>
      <c r="AU53" s="10"/>
      <c r="AV53" s="8"/>
      <c r="AW53" s="8"/>
      <c r="AX53" s="10"/>
      <c r="AY53" s="8"/>
      <c r="AZ53" s="9"/>
      <c r="BA53" s="8"/>
      <c r="BB53" s="10"/>
      <c r="BC53" s="8"/>
      <c r="BD53" s="8"/>
      <c r="BE53" s="10"/>
      <c r="BF53" s="8"/>
      <c r="BG53" s="9"/>
      <c r="BH53" s="8"/>
      <c r="BI53" s="10"/>
      <c r="BJ53" s="8"/>
      <c r="BK53" s="8"/>
      <c r="BL53" s="10"/>
      <c r="BM53" s="8"/>
      <c r="BN53" s="9"/>
      <c r="BO53" s="8"/>
      <c r="BP53" s="10"/>
      <c r="BQ53" s="8"/>
      <c r="BR53" s="8"/>
      <c r="BS53" s="10"/>
      <c r="BT53" s="8"/>
      <c r="BU53" s="9"/>
      <c r="BV53" s="8"/>
      <c r="BW53" s="10"/>
      <c r="BX53" s="8"/>
      <c r="BY53" s="8"/>
      <c r="BZ53" s="10"/>
      <c r="CA53" s="8"/>
      <c r="CB53" s="9"/>
      <c r="CC53" s="8"/>
      <c r="CD53" s="10"/>
      <c r="CE53" s="8"/>
      <c r="CF53" s="8"/>
      <c r="CG53" s="10"/>
      <c r="CH53" s="8"/>
      <c r="CI53" s="9"/>
      <c r="CJ53" s="8"/>
      <c r="CK53" s="10"/>
      <c r="CL53" s="8"/>
      <c r="CM53" s="8"/>
      <c r="CN53" s="10"/>
      <c r="CO53" s="8"/>
      <c r="CP53" s="9"/>
      <c r="CQ53" s="8"/>
      <c r="CR53" s="10"/>
      <c r="CS53" s="8"/>
      <c r="CT53" s="8"/>
      <c r="CU53" s="10"/>
      <c r="CV53" s="8"/>
      <c r="CW53" s="9"/>
      <c r="CX53" s="8"/>
      <c r="CY53" s="10"/>
      <c r="CZ53" s="8"/>
      <c r="DA53" s="8"/>
      <c r="DB53" s="10"/>
      <c r="DC53" s="8"/>
    </row>
    <row r="54" spans="1:107" ht="12.75">
      <c r="A54" s="8"/>
      <c r="B54" s="8"/>
      <c r="C54" s="8"/>
      <c r="D54" s="9"/>
      <c r="E54" s="8"/>
      <c r="F54" s="10"/>
      <c r="G54" s="8"/>
      <c r="H54" s="8"/>
      <c r="I54" s="8"/>
      <c r="J54" s="8"/>
      <c r="K54" s="8"/>
      <c r="L54" s="8"/>
      <c r="M54" s="9"/>
      <c r="N54" s="8"/>
      <c r="O54" s="10"/>
      <c r="P54" s="8"/>
      <c r="Q54" s="8"/>
      <c r="R54" s="8"/>
      <c r="S54" s="8"/>
      <c r="T54" s="9"/>
      <c r="U54" s="8"/>
      <c r="V54" s="10"/>
      <c r="W54" s="8"/>
      <c r="X54" s="8"/>
      <c r="Y54" s="8"/>
      <c r="Z54" s="8"/>
      <c r="AA54" s="9"/>
      <c r="AB54" s="8"/>
      <c r="AC54" s="10"/>
      <c r="AD54" s="8"/>
      <c r="AE54" s="8"/>
      <c r="AF54" s="8"/>
      <c r="AG54" s="8"/>
      <c r="AH54" s="9"/>
      <c r="AI54" s="8"/>
      <c r="AJ54" s="10"/>
      <c r="AK54" s="8"/>
      <c r="AL54" s="8"/>
      <c r="AM54" s="8"/>
      <c r="AN54" s="8"/>
      <c r="AO54" s="9"/>
      <c r="AP54" s="8"/>
      <c r="AQ54" s="10"/>
      <c r="AR54" s="8"/>
      <c r="AS54" s="8"/>
      <c r="AT54" s="8"/>
      <c r="AU54" s="8"/>
      <c r="AV54" s="9"/>
      <c r="AW54" s="8"/>
      <c r="AX54" s="10"/>
      <c r="AY54" s="8"/>
      <c r="AZ54" s="8"/>
      <c r="BA54" s="8"/>
      <c r="BB54" s="8"/>
      <c r="BC54" s="9"/>
      <c r="BD54" s="8"/>
      <c r="BE54" s="10"/>
      <c r="BF54" s="8"/>
      <c r="BG54" s="8"/>
      <c r="BH54" s="8"/>
      <c r="BI54" s="8"/>
      <c r="BJ54" s="9"/>
      <c r="BK54" s="8"/>
      <c r="BL54" s="10"/>
      <c r="BM54" s="8"/>
      <c r="BN54" s="8"/>
      <c r="BO54" s="8"/>
      <c r="BP54" s="8"/>
      <c r="BQ54" s="9"/>
      <c r="BR54" s="8"/>
      <c r="BS54" s="10"/>
      <c r="BT54" s="8"/>
      <c r="BU54" s="8"/>
      <c r="BV54" s="8"/>
      <c r="BW54" s="8"/>
      <c r="BX54" s="9"/>
      <c r="BY54" s="8"/>
      <c r="BZ54" s="10"/>
      <c r="CA54" s="8"/>
      <c r="CB54" s="8"/>
      <c r="CC54" s="8"/>
      <c r="CD54" s="8"/>
      <c r="CE54" s="9"/>
      <c r="CF54" s="8"/>
      <c r="CG54" s="10"/>
      <c r="CH54" s="8"/>
      <c r="CI54" s="8"/>
      <c r="CJ54" s="8"/>
      <c r="CK54" s="8"/>
      <c r="CL54" s="9"/>
      <c r="CM54" s="8"/>
      <c r="CN54" s="10"/>
      <c r="CO54" s="8"/>
      <c r="CP54" s="8"/>
      <c r="CQ54" s="8"/>
      <c r="CR54" s="8"/>
      <c r="CS54" s="9"/>
      <c r="CT54" s="8"/>
      <c r="CU54" s="10"/>
      <c r="CV54" s="8"/>
      <c r="CW54" s="8"/>
      <c r="CX54" s="8"/>
      <c r="CY54" s="8"/>
      <c r="CZ54" s="9"/>
      <c r="DA54" s="8"/>
      <c r="DB54" s="10"/>
      <c r="DC54" s="8"/>
    </row>
    <row r="55" spans="1:107" ht="12.75">
      <c r="A55" s="19" t="s">
        <v>121</v>
      </c>
      <c r="B55" s="8"/>
      <c r="C55" s="8"/>
      <c r="D55" s="9"/>
      <c r="E55" s="8"/>
      <c r="F55" s="10"/>
      <c r="G55" s="8"/>
      <c r="H55" s="8"/>
      <c r="I55" s="8"/>
      <c r="J55" s="19" t="s">
        <v>121</v>
      </c>
      <c r="K55" s="8"/>
      <c r="L55" s="8"/>
      <c r="M55" s="9"/>
      <c r="N55" s="8"/>
      <c r="O55" s="10"/>
      <c r="P55" s="8"/>
      <c r="Q55" s="19" t="s">
        <v>121</v>
      </c>
      <c r="R55" s="8"/>
      <c r="S55" s="8"/>
      <c r="T55" s="9"/>
      <c r="U55" s="8"/>
      <c r="V55" s="10"/>
      <c r="W55" s="8"/>
      <c r="X55" s="19" t="s">
        <v>121</v>
      </c>
      <c r="Y55" s="8"/>
      <c r="Z55" s="8"/>
      <c r="AA55" s="9"/>
      <c r="AB55" s="8"/>
      <c r="AC55" s="10"/>
      <c r="AD55" s="8"/>
      <c r="AE55" s="19" t="s">
        <v>121</v>
      </c>
      <c r="AF55" s="8"/>
      <c r="AG55" s="8"/>
      <c r="AH55" s="9"/>
      <c r="AI55" s="8"/>
      <c r="AJ55" s="10"/>
      <c r="AK55" s="8"/>
      <c r="AL55" s="19" t="s">
        <v>121</v>
      </c>
      <c r="AM55" s="8"/>
      <c r="AN55" s="8"/>
      <c r="AO55" s="9"/>
      <c r="AP55" s="8"/>
      <c r="AQ55" s="10"/>
      <c r="AR55" s="8"/>
      <c r="AS55" s="19" t="s">
        <v>121</v>
      </c>
      <c r="AT55" s="8"/>
      <c r="AU55" s="8"/>
      <c r="AV55" s="9"/>
      <c r="AW55" s="8"/>
      <c r="AX55" s="10"/>
      <c r="AY55" s="8"/>
      <c r="AZ55" s="19" t="s">
        <v>121</v>
      </c>
      <c r="BA55" s="8"/>
      <c r="BB55" s="8"/>
      <c r="BC55" s="9"/>
      <c r="BD55" s="8"/>
      <c r="BE55" s="10"/>
      <c r="BF55" s="8"/>
      <c r="BG55" s="19" t="s">
        <v>121</v>
      </c>
      <c r="BH55" s="8"/>
      <c r="BI55" s="8"/>
      <c r="BJ55" s="9"/>
      <c r="BK55" s="8"/>
      <c r="BL55" s="10"/>
      <c r="BM55" s="8"/>
      <c r="BN55" s="19" t="s">
        <v>121</v>
      </c>
      <c r="BO55" s="8"/>
      <c r="BP55" s="8"/>
      <c r="BQ55" s="9"/>
      <c r="BR55" s="8"/>
      <c r="BS55" s="10"/>
      <c r="BT55" s="8"/>
      <c r="BU55" s="19" t="s">
        <v>121</v>
      </c>
      <c r="BV55" s="8"/>
      <c r="BW55" s="8"/>
      <c r="BX55" s="9"/>
      <c r="BY55" s="8"/>
      <c r="BZ55" s="10"/>
      <c r="CA55" s="8"/>
      <c r="CB55" s="19" t="s">
        <v>121</v>
      </c>
      <c r="CC55" s="8"/>
      <c r="CD55" s="8"/>
      <c r="CE55" s="9"/>
      <c r="CF55" s="8"/>
      <c r="CG55" s="10"/>
      <c r="CH55" s="8"/>
      <c r="CI55" s="19" t="s">
        <v>121</v>
      </c>
      <c r="CJ55" s="8"/>
      <c r="CK55" s="8"/>
      <c r="CL55" s="9"/>
      <c r="CM55" s="8"/>
      <c r="CN55" s="10"/>
      <c r="CO55" s="8"/>
      <c r="CP55" s="19" t="s">
        <v>121</v>
      </c>
      <c r="CQ55" s="8"/>
      <c r="CR55" s="8"/>
      <c r="CS55" s="9"/>
      <c r="CT55" s="8"/>
      <c r="CU55" s="10"/>
      <c r="CV55" s="8"/>
      <c r="CW55" s="19" t="s">
        <v>121</v>
      </c>
      <c r="CX55" s="8"/>
      <c r="CY55" s="8"/>
      <c r="CZ55" s="9"/>
      <c r="DA55" s="8"/>
      <c r="DB55" s="10"/>
      <c r="DC55" s="8"/>
    </row>
    <row r="56" spans="1:107" ht="12.75">
      <c r="A56" s="19"/>
      <c r="B56" s="8"/>
      <c r="C56" s="8"/>
      <c r="D56" s="9"/>
      <c r="E56" s="8"/>
      <c r="F56" s="10"/>
      <c r="G56" s="8"/>
      <c r="H56" s="8"/>
      <c r="I56" s="8"/>
      <c r="J56" s="19"/>
      <c r="K56" s="8"/>
      <c r="L56" s="8"/>
      <c r="M56" s="9"/>
      <c r="N56" s="8"/>
      <c r="O56" s="10"/>
      <c r="P56" s="8"/>
      <c r="Q56" s="19"/>
      <c r="R56" s="8"/>
      <c r="S56" s="8"/>
      <c r="T56" s="9"/>
      <c r="U56" s="8"/>
      <c r="V56" s="10"/>
      <c r="W56" s="8"/>
      <c r="X56" s="19"/>
      <c r="Y56" s="8"/>
      <c r="Z56" s="8"/>
      <c r="AA56" s="9"/>
      <c r="AB56" s="8"/>
      <c r="AC56" s="10"/>
      <c r="AD56" s="8"/>
      <c r="AE56" s="19"/>
      <c r="AF56" s="8"/>
      <c r="AG56" s="8"/>
      <c r="AH56" s="9"/>
      <c r="AI56" s="8"/>
      <c r="AJ56" s="10"/>
      <c r="AK56" s="8"/>
      <c r="AL56" s="19"/>
      <c r="AM56" s="8"/>
      <c r="AN56" s="8"/>
      <c r="AO56" s="9"/>
      <c r="AP56" s="8"/>
      <c r="AQ56" s="10"/>
      <c r="AR56" s="8"/>
      <c r="AS56" s="19"/>
      <c r="AT56" s="8"/>
      <c r="AU56" s="8"/>
      <c r="AV56" s="9"/>
      <c r="AW56" s="8"/>
      <c r="AX56" s="10"/>
      <c r="AY56" s="8"/>
      <c r="AZ56" s="19"/>
      <c r="BA56" s="8"/>
      <c r="BB56" s="8"/>
      <c r="BC56" s="9"/>
      <c r="BD56" s="8"/>
      <c r="BE56" s="10"/>
      <c r="BF56" s="8"/>
      <c r="BG56" s="19"/>
      <c r="BH56" s="8"/>
      <c r="BI56" s="8"/>
      <c r="BJ56" s="9"/>
      <c r="BK56" s="8"/>
      <c r="BL56" s="10"/>
      <c r="BM56" s="8"/>
      <c r="BN56" s="19"/>
      <c r="BO56" s="8"/>
      <c r="BP56" s="8"/>
      <c r="BQ56" s="9"/>
      <c r="BR56" s="8"/>
      <c r="BS56" s="10"/>
      <c r="BT56" s="8"/>
      <c r="BU56" s="19"/>
      <c r="BV56" s="8"/>
      <c r="BW56" s="8"/>
      <c r="BX56" s="9"/>
      <c r="BY56" s="8"/>
      <c r="BZ56" s="10"/>
      <c r="CA56" s="8"/>
      <c r="CB56" s="19"/>
      <c r="CC56" s="8"/>
      <c r="CD56" s="8"/>
      <c r="CE56" s="9"/>
      <c r="CF56" s="8"/>
      <c r="CG56" s="10"/>
      <c r="CH56" s="8"/>
      <c r="CI56" s="19"/>
      <c r="CJ56" s="8"/>
      <c r="CK56" s="8"/>
      <c r="CL56" s="9"/>
      <c r="CM56" s="8"/>
      <c r="CN56" s="10"/>
      <c r="CO56" s="8"/>
      <c r="CP56" s="19"/>
      <c r="CQ56" s="8"/>
      <c r="CR56" s="8"/>
      <c r="CS56" s="9"/>
      <c r="CT56" s="8"/>
      <c r="CU56" s="10"/>
      <c r="CV56" s="8"/>
      <c r="CW56" s="19"/>
      <c r="CX56" s="8"/>
      <c r="CY56" s="8"/>
      <c r="CZ56" s="9"/>
      <c r="DA56" s="8"/>
      <c r="DB56" s="10"/>
      <c r="DC56" s="8"/>
    </row>
    <row r="57" spans="1:107" s="29" customFormat="1" ht="12.75">
      <c r="A57" s="25"/>
      <c r="B57" s="26"/>
      <c r="C57" s="26"/>
      <c r="D57" s="27" t="s">
        <v>99</v>
      </c>
      <c r="E57" s="26" t="s">
        <v>100</v>
      </c>
      <c r="F57" s="28" t="s">
        <v>101</v>
      </c>
      <c r="G57" s="26" t="s">
        <v>100</v>
      </c>
      <c r="H57" s="25"/>
      <c r="I57" s="25"/>
      <c r="J57" s="27" t="s">
        <v>99</v>
      </c>
      <c r="K57" s="26" t="s">
        <v>100</v>
      </c>
      <c r="L57" s="28" t="s">
        <v>101</v>
      </c>
      <c r="M57" s="26" t="s">
        <v>100</v>
      </c>
      <c r="N57" s="64"/>
      <c r="O57" s="65"/>
      <c r="P57" s="64"/>
      <c r="Q57" s="27" t="s">
        <v>99</v>
      </c>
      <c r="R57" s="26" t="s">
        <v>100</v>
      </c>
      <c r="S57" s="28" t="s">
        <v>101</v>
      </c>
      <c r="T57" s="26" t="s">
        <v>100</v>
      </c>
      <c r="U57" s="64"/>
      <c r="V57" s="65"/>
      <c r="W57" s="64"/>
      <c r="X57" s="27" t="s">
        <v>99</v>
      </c>
      <c r="Y57" s="26" t="s">
        <v>100</v>
      </c>
      <c r="Z57" s="28" t="s">
        <v>101</v>
      </c>
      <c r="AA57" s="26" t="s">
        <v>100</v>
      </c>
      <c r="AB57" s="64"/>
      <c r="AC57" s="65"/>
      <c r="AD57" s="64"/>
      <c r="AE57" s="27" t="s">
        <v>99</v>
      </c>
      <c r="AF57" s="26" t="s">
        <v>100</v>
      </c>
      <c r="AG57" s="28" t="s">
        <v>101</v>
      </c>
      <c r="AH57" s="26" t="s">
        <v>100</v>
      </c>
      <c r="AI57" s="64"/>
      <c r="AJ57" s="65"/>
      <c r="AK57" s="64"/>
      <c r="AL57" s="27" t="s">
        <v>99</v>
      </c>
      <c r="AM57" s="26" t="s">
        <v>100</v>
      </c>
      <c r="AN57" s="28" t="s">
        <v>101</v>
      </c>
      <c r="AO57" s="26" t="s">
        <v>100</v>
      </c>
      <c r="AP57" s="64"/>
      <c r="AQ57" s="65"/>
      <c r="AR57" s="64"/>
      <c r="AS57" s="27" t="s">
        <v>99</v>
      </c>
      <c r="AT57" s="26" t="s">
        <v>100</v>
      </c>
      <c r="AU57" s="28" t="s">
        <v>101</v>
      </c>
      <c r="AV57" s="26" t="s">
        <v>100</v>
      </c>
      <c r="AW57" s="64"/>
      <c r="AX57" s="65"/>
      <c r="AY57" s="64"/>
      <c r="AZ57" s="89" t="s">
        <v>99</v>
      </c>
      <c r="BA57" s="44" t="s">
        <v>100</v>
      </c>
      <c r="BB57" s="88" t="s">
        <v>101</v>
      </c>
      <c r="BC57" s="44" t="s">
        <v>100</v>
      </c>
      <c r="BD57" s="64"/>
      <c r="BE57" s="65"/>
      <c r="BF57" s="64"/>
      <c r="BG57" s="89" t="s">
        <v>99</v>
      </c>
      <c r="BH57" s="44" t="s">
        <v>100</v>
      </c>
      <c r="BI57" s="88" t="s">
        <v>101</v>
      </c>
      <c r="BJ57" s="44" t="s">
        <v>100</v>
      </c>
      <c r="BK57" s="64"/>
      <c r="BL57" s="65"/>
      <c r="BM57" s="64"/>
      <c r="BN57" s="89" t="s">
        <v>99</v>
      </c>
      <c r="BO57" s="44" t="s">
        <v>100</v>
      </c>
      <c r="BP57" s="88" t="s">
        <v>101</v>
      </c>
      <c r="BQ57" s="44" t="s">
        <v>100</v>
      </c>
      <c r="BR57" s="64"/>
      <c r="BS57" s="65"/>
      <c r="BT57" s="64"/>
      <c r="BU57" s="89" t="s">
        <v>99</v>
      </c>
      <c r="BV57" s="44" t="s">
        <v>100</v>
      </c>
      <c r="BW57" s="88" t="s">
        <v>101</v>
      </c>
      <c r="BX57" s="44" t="s">
        <v>100</v>
      </c>
      <c r="BY57" s="64"/>
      <c r="BZ57" s="65"/>
      <c r="CA57" s="64"/>
      <c r="CB57" s="89" t="s">
        <v>99</v>
      </c>
      <c r="CC57" s="44" t="s">
        <v>100</v>
      </c>
      <c r="CD57" s="88" t="s">
        <v>101</v>
      </c>
      <c r="CE57" s="44" t="s">
        <v>100</v>
      </c>
      <c r="CF57" s="64"/>
      <c r="CG57" s="65"/>
      <c r="CH57" s="64"/>
      <c r="CI57" s="89" t="s">
        <v>99</v>
      </c>
      <c r="CJ57" s="44" t="s">
        <v>100</v>
      </c>
      <c r="CK57" s="88" t="s">
        <v>101</v>
      </c>
      <c r="CL57" s="44" t="s">
        <v>100</v>
      </c>
      <c r="CM57" s="64"/>
      <c r="CN57" s="65"/>
      <c r="CO57" s="64"/>
      <c r="CP57" s="89" t="s">
        <v>99</v>
      </c>
      <c r="CQ57" s="44" t="s">
        <v>100</v>
      </c>
      <c r="CR57" s="88" t="s">
        <v>101</v>
      </c>
      <c r="CS57" s="44" t="s">
        <v>100</v>
      </c>
      <c r="CT57" s="64"/>
      <c r="CU57" s="65"/>
      <c r="CV57" s="64"/>
      <c r="CW57" s="89" t="s">
        <v>99</v>
      </c>
      <c r="CX57" s="44" t="s">
        <v>100</v>
      </c>
      <c r="CY57" s="88" t="s">
        <v>101</v>
      </c>
      <c r="CZ57" s="44" t="s">
        <v>100</v>
      </c>
      <c r="DA57" s="64"/>
      <c r="DB57" s="65"/>
      <c r="DC57" s="64"/>
    </row>
    <row r="58" spans="1:107" ht="12.75">
      <c r="A58" s="12"/>
      <c r="B58" s="8"/>
      <c r="C58" s="8"/>
      <c r="D58" s="9"/>
      <c r="E58" s="8"/>
      <c r="F58" s="10"/>
      <c r="G58" s="8"/>
      <c r="H58" s="8"/>
      <c r="I58" s="8"/>
      <c r="J58" s="9"/>
      <c r="K58" s="8"/>
      <c r="L58" s="10"/>
      <c r="M58" s="8"/>
      <c r="N58" s="54"/>
      <c r="O58" s="55"/>
      <c r="P58" s="54"/>
      <c r="Q58" s="9"/>
      <c r="R58" s="8"/>
      <c r="S58" s="10"/>
      <c r="T58" s="8"/>
      <c r="U58" s="54"/>
      <c r="V58" s="55"/>
      <c r="W58" s="54"/>
      <c r="X58" s="9"/>
      <c r="Y58" s="8"/>
      <c r="Z58" s="10"/>
      <c r="AA58" s="8"/>
      <c r="AB58" s="54"/>
      <c r="AC58" s="55"/>
      <c r="AD58" s="54"/>
      <c r="AE58" s="9"/>
      <c r="AF58" s="8"/>
      <c r="AG58" s="10"/>
      <c r="AH58" s="8"/>
      <c r="AI58" s="54"/>
      <c r="AJ58" s="55"/>
      <c r="AK58" s="54"/>
      <c r="AL58" s="9"/>
      <c r="AM58" s="8"/>
      <c r="AN58" s="10"/>
      <c r="AO58" s="8"/>
      <c r="AP58" s="54"/>
      <c r="AQ58" s="55"/>
      <c r="AR58" s="54"/>
      <c r="AS58" s="9"/>
      <c r="AT58" s="8"/>
      <c r="AU58" s="10"/>
      <c r="AV58" s="8"/>
      <c r="AW58" s="54"/>
      <c r="AX58" s="55"/>
      <c r="AY58" s="54"/>
      <c r="AZ58" s="9"/>
      <c r="BA58" s="8"/>
      <c r="BB58" s="10"/>
      <c r="BC58" s="8"/>
      <c r="BD58" s="54"/>
      <c r="BE58" s="55"/>
      <c r="BF58" s="54"/>
      <c r="BG58" s="9"/>
      <c r="BH58" s="8"/>
      <c r="BI58" s="10"/>
      <c r="BJ58" s="8"/>
      <c r="BK58" s="54"/>
      <c r="BL58" s="55"/>
      <c r="BM58" s="54"/>
      <c r="BN58" s="9"/>
      <c r="BO58" s="8"/>
      <c r="BP58" s="10"/>
      <c r="BQ58" s="8"/>
      <c r="BR58" s="54"/>
      <c r="BS58" s="55"/>
      <c r="BT58" s="54"/>
      <c r="BU58" s="9"/>
      <c r="BV58" s="8"/>
      <c r="BW58" s="10"/>
      <c r="BX58" s="8"/>
      <c r="BY58" s="54"/>
      <c r="BZ58" s="55"/>
      <c r="CA58" s="54"/>
      <c r="CB58" s="9"/>
      <c r="CC58" s="8"/>
      <c r="CD58" s="10"/>
      <c r="CE58" s="8"/>
      <c r="CF58" s="54"/>
      <c r="CG58" s="55"/>
      <c r="CH58" s="54"/>
      <c r="CI58" s="9"/>
      <c r="CJ58" s="8"/>
      <c r="CK58" s="10"/>
      <c r="CL58" s="8"/>
      <c r="CM58" s="54"/>
      <c r="CN58" s="55"/>
      <c r="CO58" s="54"/>
      <c r="CP58" s="9"/>
      <c r="CQ58" s="8"/>
      <c r="CR58" s="10"/>
      <c r="CS58" s="8"/>
      <c r="CT58" s="54"/>
      <c r="CU58" s="55"/>
      <c r="CV58" s="54"/>
      <c r="CW58" s="9"/>
      <c r="CX58" s="8"/>
      <c r="CY58" s="10"/>
      <c r="CZ58" s="8"/>
      <c r="DA58" s="54"/>
      <c r="DB58" s="55"/>
      <c r="DC58" s="54"/>
    </row>
    <row r="59" spans="1:107" ht="12.75">
      <c r="A59" s="8" t="s">
        <v>17</v>
      </c>
      <c r="B59" s="8"/>
      <c r="C59" s="8"/>
      <c r="D59" s="9">
        <v>46078543.98</v>
      </c>
      <c r="E59" s="14">
        <f>+D59/$D$74</f>
        <v>0.7647841866180181</v>
      </c>
      <c r="F59" s="10">
        <v>71702</v>
      </c>
      <c r="G59" s="14">
        <f>+F59/$F$74</f>
        <v>0.9363874995102712</v>
      </c>
      <c r="H59" s="8"/>
      <c r="I59" s="8"/>
      <c r="J59" s="9">
        <v>33644814.41000039</v>
      </c>
      <c r="K59" s="14">
        <f>+J59/J74</f>
        <v>0.7874886587519961</v>
      </c>
      <c r="L59" s="10">
        <v>57859</v>
      </c>
      <c r="M59" s="14">
        <f>+L59/L74</f>
        <v>0.9479487515564585</v>
      </c>
      <c r="N59" s="56"/>
      <c r="O59" s="55"/>
      <c r="P59" s="56"/>
      <c r="Q59" s="9">
        <v>37685316.41000027</v>
      </c>
      <c r="R59" s="14">
        <v>0.7612911291207827</v>
      </c>
      <c r="S59" s="10">
        <v>61525</v>
      </c>
      <c r="T59" s="14">
        <f>+S59/$S$74</f>
        <v>0.9376666920673626</v>
      </c>
      <c r="U59" s="56"/>
      <c r="V59" s="55"/>
      <c r="W59" s="56"/>
      <c r="X59" s="9">
        <v>33667821.19000013</v>
      </c>
      <c r="Y59" s="14">
        <v>0.7594755716809264</v>
      </c>
      <c r="Z59" s="10">
        <v>53690</v>
      </c>
      <c r="AA59" s="14">
        <v>0.9358549764685375</v>
      </c>
      <c r="AB59" s="56"/>
      <c r="AC59" s="55"/>
      <c r="AD59" s="56"/>
      <c r="AE59" s="9">
        <v>28759497.190000057</v>
      </c>
      <c r="AF59" s="14">
        <v>0.769265028686067</v>
      </c>
      <c r="AG59" s="10">
        <v>46816</v>
      </c>
      <c r="AH59" s="14">
        <v>0.9393446899014828</v>
      </c>
      <c r="AI59" s="56"/>
      <c r="AJ59" s="55"/>
      <c r="AK59" s="56"/>
      <c r="AL59" s="9">
        <v>27018425.780000508</v>
      </c>
      <c r="AM59" s="14">
        <v>0.7735471246008171</v>
      </c>
      <c r="AN59" s="10">
        <v>44220</v>
      </c>
      <c r="AO59" s="14">
        <v>0.940951165017555</v>
      </c>
      <c r="AP59" s="56"/>
      <c r="AQ59" s="55"/>
      <c r="AR59" s="56"/>
      <c r="AS59" s="9">
        <v>24842714.050000202</v>
      </c>
      <c r="AT59" s="14">
        <v>0.7761378074879126</v>
      </c>
      <c r="AU59" s="10">
        <v>39601</v>
      </c>
      <c r="AV59" s="14">
        <v>0.9404402859246241</v>
      </c>
      <c r="AW59" s="56"/>
      <c r="AX59" s="55"/>
      <c r="AY59" s="56"/>
      <c r="AZ59" s="9">
        <v>26725451.69000049</v>
      </c>
      <c r="BA59" s="14">
        <v>0.761990846767102</v>
      </c>
      <c r="BB59" s="10">
        <v>40009</v>
      </c>
      <c r="BC59" s="14">
        <v>0.931221487757192</v>
      </c>
      <c r="BD59" s="56"/>
      <c r="BE59" s="55"/>
      <c r="BF59" s="56"/>
      <c r="BG59" s="9">
        <v>23015094.760000143</v>
      </c>
      <c r="BH59" s="14">
        <v>0.777550722039683</v>
      </c>
      <c r="BI59" s="10">
        <v>34982</v>
      </c>
      <c r="BJ59" s="14">
        <v>0.9372270596115204</v>
      </c>
      <c r="BK59" s="56"/>
      <c r="BL59" s="55"/>
      <c r="BM59" s="56"/>
      <c r="BN59" s="9">
        <v>20185400.209999923</v>
      </c>
      <c r="BO59" s="14">
        <v>0.774432115048406</v>
      </c>
      <c r="BP59" s="10">
        <v>30822</v>
      </c>
      <c r="BQ59" s="14">
        <v>0.936269744835966</v>
      </c>
      <c r="BR59" s="56"/>
      <c r="BS59" s="55"/>
      <c r="BT59" s="56"/>
      <c r="BU59" s="9">
        <v>18526600.000000156</v>
      </c>
      <c r="BV59" s="14">
        <v>0.7646705062644479</v>
      </c>
      <c r="BW59" s="10">
        <v>28600</v>
      </c>
      <c r="BX59" s="14">
        <v>0.9337555911064678</v>
      </c>
      <c r="BY59" s="56"/>
      <c r="BZ59" s="55"/>
      <c r="CA59" s="56"/>
      <c r="CB59" s="9">
        <v>18940416.37000006</v>
      </c>
      <c r="CC59" s="14">
        <v>0.7451962011467771</v>
      </c>
      <c r="CD59" s="10">
        <v>28141</v>
      </c>
      <c r="CE59" s="14">
        <v>0.9249605574546411</v>
      </c>
      <c r="CF59" s="56"/>
      <c r="CG59" s="55"/>
      <c r="CH59" s="56"/>
      <c r="CI59" s="9">
        <v>14122585.20999998</v>
      </c>
      <c r="CJ59" s="14">
        <v>0.7533105323119875</v>
      </c>
      <c r="CK59" s="10">
        <v>22139</v>
      </c>
      <c r="CL59" s="14">
        <v>0.9306010928961749</v>
      </c>
      <c r="CM59" s="56"/>
      <c r="CN59" s="55"/>
      <c r="CO59" s="56"/>
      <c r="CP59" s="9">
        <v>10845826.029999971</v>
      </c>
      <c r="CQ59" s="14">
        <v>0.7575074471785879</v>
      </c>
      <c r="CR59" s="10">
        <v>17386</v>
      </c>
      <c r="CS59" s="14">
        <v>0.9325752293085877</v>
      </c>
      <c r="CT59" s="56"/>
      <c r="CU59" s="55"/>
      <c r="CV59" s="56"/>
      <c r="CW59" s="9">
        <v>10831748.37999998</v>
      </c>
      <c r="CX59" s="14">
        <v>0.7386762909203203</v>
      </c>
      <c r="CY59" s="10">
        <v>16251</v>
      </c>
      <c r="CZ59" s="14">
        <v>0.9233522727272727</v>
      </c>
      <c r="DA59" s="56"/>
      <c r="DB59" s="55"/>
      <c r="DC59" s="56"/>
    </row>
    <row r="60" spans="1:107" ht="12.75">
      <c r="A60" s="8" t="s">
        <v>18</v>
      </c>
      <c r="B60" s="8"/>
      <c r="C60" s="8"/>
      <c r="D60" s="9">
        <v>11280204.92</v>
      </c>
      <c r="E60" s="14">
        <f aca="true" t="shared" si="10" ref="E60:E72">+D60/$D$74</f>
        <v>0.1872221124949436</v>
      </c>
      <c r="F60" s="10">
        <v>4370</v>
      </c>
      <c r="G60" s="14">
        <f aca="true" t="shared" si="11" ref="G60:G72">+F60/$F$74</f>
        <v>0.0570697243153592</v>
      </c>
      <c r="H60" s="8"/>
      <c r="I60" s="8"/>
      <c r="J60" s="9">
        <v>7367739.329999999</v>
      </c>
      <c r="K60" s="14">
        <f>+J60/$J$74</f>
        <v>0.17244889783940892</v>
      </c>
      <c r="L60" s="10">
        <v>2877</v>
      </c>
      <c r="M60" s="14">
        <f>+L60/$L$74</f>
        <v>0.04713611639032702</v>
      </c>
      <c r="N60" s="56"/>
      <c r="O60" s="55"/>
      <c r="P60" s="56"/>
      <c r="Q60" s="9">
        <v>9563713.03000001</v>
      </c>
      <c r="R60" s="14">
        <v>0.19319911797964381</v>
      </c>
      <c r="S60" s="10">
        <v>3694</v>
      </c>
      <c r="T60" s="14">
        <f aca="true" t="shared" si="12" ref="T60:T72">+S60/$S$74</f>
        <v>0.056298102568010364</v>
      </c>
      <c r="U60" s="56"/>
      <c r="V60" s="55"/>
      <c r="W60" s="56"/>
      <c r="X60" s="9">
        <v>8585711.77000002</v>
      </c>
      <c r="Y60" s="14">
        <v>0.19367568569436133</v>
      </c>
      <c r="Z60" s="10">
        <v>3321</v>
      </c>
      <c r="AA60" s="14">
        <v>0.057887397594561615</v>
      </c>
      <c r="AB60" s="56"/>
      <c r="AC60" s="55"/>
      <c r="AD60" s="56"/>
      <c r="AE60" s="9">
        <v>7036417.700000007</v>
      </c>
      <c r="AF60" s="14">
        <v>0.18821156809792072</v>
      </c>
      <c r="AG60" s="10">
        <v>2745</v>
      </c>
      <c r="AH60" s="14">
        <v>0.055077349063986036</v>
      </c>
      <c r="AI60" s="56"/>
      <c r="AJ60" s="55"/>
      <c r="AK60" s="56"/>
      <c r="AL60" s="9">
        <v>6420623.299999999</v>
      </c>
      <c r="AM60" s="14">
        <v>0.18382472510801906</v>
      </c>
      <c r="AN60" s="10">
        <v>2514</v>
      </c>
      <c r="AO60" s="14">
        <v>0.053495052665177144</v>
      </c>
      <c r="AP60" s="56"/>
      <c r="AQ60" s="55"/>
      <c r="AR60" s="56"/>
      <c r="AS60" s="9">
        <v>5871271.030000012</v>
      </c>
      <c r="AT60" s="14">
        <v>0.1834306595978176</v>
      </c>
      <c r="AU60" s="10">
        <v>2286</v>
      </c>
      <c r="AV60" s="14">
        <v>0.05428768196822532</v>
      </c>
      <c r="AW60" s="56"/>
      <c r="AX60" s="55"/>
      <c r="AY60" s="56"/>
      <c r="AZ60" s="9">
        <v>6927789.830000006</v>
      </c>
      <c r="BA60" s="14">
        <v>0.1975237874374772</v>
      </c>
      <c r="BB60" s="10">
        <v>2697</v>
      </c>
      <c r="BC60" s="14">
        <v>0.06277348477795364</v>
      </c>
      <c r="BD60" s="56"/>
      <c r="BE60" s="55"/>
      <c r="BF60" s="56"/>
      <c r="BG60" s="9">
        <v>5525109.539999994</v>
      </c>
      <c r="BH60" s="14">
        <v>0.18666240382558869</v>
      </c>
      <c r="BI60" s="10">
        <v>2145</v>
      </c>
      <c r="BJ60" s="14">
        <v>0.05746818486269257</v>
      </c>
      <c r="BK60" s="56"/>
      <c r="BL60" s="55"/>
      <c r="BM60" s="56"/>
      <c r="BN60" s="9">
        <v>4960988.23</v>
      </c>
      <c r="BO60" s="14">
        <v>0.19033304109501054</v>
      </c>
      <c r="BP60" s="10">
        <v>1928</v>
      </c>
      <c r="BQ60" s="14">
        <v>0.05856622114216282</v>
      </c>
      <c r="BR60" s="56"/>
      <c r="BS60" s="55"/>
      <c r="BT60" s="56"/>
      <c r="BU60" s="9">
        <v>4797075.079999992</v>
      </c>
      <c r="BV60" s="14">
        <v>0.19799541362215028</v>
      </c>
      <c r="BW60" s="10">
        <v>1864</v>
      </c>
      <c r="BX60" s="14">
        <v>0.06085735740637958</v>
      </c>
      <c r="BY60" s="56"/>
      <c r="BZ60" s="55"/>
      <c r="CA60" s="56"/>
      <c r="CB60" s="9">
        <v>5402992.229999982</v>
      </c>
      <c r="CC60" s="14">
        <v>0.2125765984215017</v>
      </c>
      <c r="CD60" s="10">
        <v>2093</v>
      </c>
      <c r="CE60" s="14">
        <v>0.0687943728635288</v>
      </c>
      <c r="CF60" s="56"/>
      <c r="CG60" s="55"/>
      <c r="CH60" s="56"/>
      <c r="CI60" s="9">
        <v>3883076.11</v>
      </c>
      <c r="CJ60" s="14">
        <v>0.20712653440821854</v>
      </c>
      <c r="CK60" s="10">
        <v>1522</v>
      </c>
      <c r="CL60" s="14">
        <v>0.06397646069777217</v>
      </c>
      <c r="CM60" s="56"/>
      <c r="CN60" s="55"/>
      <c r="CO60" s="56"/>
      <c r="CP60" s="9">
        <v>2967785.27</v>
      </c>
      <c r="CQ60" s="14">
        <v>0.20727968874233563</v>
      </c>
      <c r="CR60" s="10">
        <v>1163</v>
      </c>
      <c r="CS60" s="14">
        <v>0.062382663734377515</v>
      </c>
      <c r="CT60" s="56"/>
      <c r="CU60" s="55"/>
      <c r="CV60" s="56"/>
      <c r="CW60" s="9">
        <v>3185223.36</v>
      </c>
      <c r="CX60" s="14">
        <v>0.217217839149765</v>
      </c>
      <c r="CY60" s="10">
        <v>1233</v>
      </c>
      <c r="CZ60" s="14">
        <v>0.07005681818181818</v>
      </c>
      <c r="DA60" s="56"/>
      <c r="DB60" s="55"/>
      <c r="DC60" s="56"/>
    </row>
    <row r="61" spans="1:107" ht="12.75">
      <c r="A61" s="8" t="s">
        <v>19</v>
      </c>
      <c r="B61" s="8"/>
      <c r="C61" s="8"/>
      <c r="D61" s="9">
        <v>1693357.01</v>
      </c>
      <c r="E61" s="14">
        <f t="shared" si="10"/>
        <v>0.028105329545761597</v>
      </c>
      <c r="F61" s="10">
        <v>358</v>
      </c>
      <c r="G61" s="14">
        <f t="shared" si="11"/>
        <v>0.00467527718647565</v>
      </c>
      <c r="H61" s="8"/>
      <c r="I61" s="8"/>
      <c r="J61" s="9">
        <v>1049876.9</v>
      </c>
      <c r="K61" s="14">
        <f aca="true" t="shared" si="13" ref="K61:K72">+J61/$J$74</f>
        <v>0.024573360451944127</v>
      </c>
      <c r="L61" s="10">
        <v>222</v>
      </c>
      <c r="M61" s="14">
        <f aca="true" t="shared" si="14" ref="M61:M72">+L61/$L$74</f>
        <v>0.003637197719378727</v>
      </c>
      <c r="N61" s="56"/>
      <c r="O61" s="55"/>
      <c r="P61" s="56"/>
      <c r="Q61" s="9">
        <v>1352202.24</v>
      </c>
      <c r="R61" s="14">
        <v>0.02731619814172722</v>
      </c>
      <c r="S61" s="10">
        <v>288</v>
      </c>
      <c r="T61" s="14">
        <f t="shared" si="12"/>
        <v>0.004389240265183266</v>
      </c>
      <c r="U61" s="56"/>
      <c r="V61" s="55"/>
      <c r="W61" s="56"/>
      <c r="X61" s="9">
        <v>1212224.8</v>
      </c>
      <c r="Y61" s="14">
        <v>0.027345254027286003</v>
      </c>
      <c r="Z61" s="10">
        <v>256</v>
      </c>
      <c r="AA61" s="14">
        <v>0.004462262506536517</v>
      </c>
      <c r="AB61" s="56"/>
      <c r="AC61" s="55"/>
      <c r="AD61" s="56"/>
      <c r="AE61" s="9">
        <v>976819.48</v>
      </c>
      <c r="AF61" s="14">
        <v>0.02612817116860406</v>
      </c>
      <c r="AG61" s="10">
        <v>205</v>
      </c>
      <c r="AH61" s="14">
        <v>0.004113244647765806</v>
      </c>
      <c r="AI61" s="56"/>
      <c r="AJ61" s="55"/>
      <c r="AK61" s="56"/>
      <c r="AL61" s="9">
        <v>931569.37</v>
      </c>
      <c r="AM61" s="14">
        <v>0.026671161872913567</v>
      </c>
      <c r="AN61" s="10">
        <v>201</v>
      </c>
      <c r="AO61" s="14">
        <v>0.004277050750079796</v>
      </c>
      <c r="AP61" s="56"/>
      <c r="AQ61" s="55"/>
      <c r="AR61" s="56"/>
      <c r="AS61" s="9">
        <v>810490.3</v>
      </c>
      <c r="AT61" s="14">
        <v>0.02532139456124423</v>
      </c>
      <c r="AU61" s="10">
        <v>173</v>
      </c>
      <c r="AV61" s="14">
        <v>0.004108385380797454</v>
      </c>
      <c r="AW61" s="56"/>
      <c r="AX61" s="55"/>
      <c r="AY61" s="56"/>
      <c r="AZ61" s="9">
        <v>948913.04</v>
      </c>
      <c r="BA61" s="14">
        <v>0.027055222835709235</v>
      </c>
      <c r="BB61" s="10">
        <v>205</v>
      </c>
      <c r="BC61" s="14">
        <v>0.0047714365515315145</v>
      </c>
      <c r="BD61" s="56"/>
      <c r="BE61" s="55"/>
      <c r="BF61" s="56"/>
      <c r="BG61" s="9">
        <v>743593.98</v>
      </c>
      <c r="BH61" s="14">
        <v>0.025121862068464416</v>
      </c>
      <c r="BI61" s="10">
        <v>162</v>
      </c>
      <c r="BJ61" s="14">
        <v>0.0043402545210984595</v>
      </c>
      <c r="BK61" s="56"/>
      <c r="BL61" s="55"/>
      <c r="BM61" s="56"/>
      <c r="BN61" s="9">
        <v>655045.84</v>
      </c>
      <c r="BO61" s="14">
        <v>0.02513145788774341</v>
      </c>
      <c r="BP61" s="10">
        <v>140</v>
      </c>
      <c r="BQ61" s="14">
        <v>0.00425273390036452</v>
      </c>
      <c r="BR61" s="56"/>
      <c r="BS61" s="55"/>
      <c r="BT61" s="56"/>
      <c r="BU61" s="9">
        <v>627965.28</v>
      </c>
      <c r="BV61" s="14">
        <v>0.025918761595440695</v>
      </c>
      <c r="BW61" s="10">
        <v>133</v>
      </c>
      <c r="BX61" s="14">
        <v>0.004342289986613994</v>
      </c>
      <c r="BY61" s="56"/>
      <c r="BZ61" s="55"/>
      <c r="CA61" s="56"/>
      <c r="CB61" s="9">
        <v>703633.63</v>
      </c>
      <c r="CC61" s="14">
        <v>0.027683927207937876</v>
      </c>
      <c r="CD61" s="10">
        <v>149</v>
      </c>
      <c r="CE61" s="14">
        <v>0.0048974493820667896</v>
      </c>
      <c r="CF61" s="56"/>
      <c r="CG61" s="55"/>
      <c r="CH61" s="56"/>
      <c r="CI61" s="9">
        <v>485182.72</v>
      </c>
      <c r="CJ61" s="14">
        <v>0.02588005295326368</v>
      </c>
      <c r="CK61" s="10">
        <v>103</v>
      </c>
      <c r="CL61" s="14">
        <v>0.004329550231189576</v>
      </c>
      <c r="CM61" s="56"/>
      <c r="CN61" s="55"/>
      <c r="CO61" s="56"/>
      <c r="CP61" s="9">
        <v>364850.84</v>
      </c>
      <c r="CQ61" s="14">
        <v>0.025482358618411666</v>
      </c>
      <c r="CR61" s="10">
        <v>79</v>
      </c>
      <c r="CS61" s="14">
        <v>0.0042375154213377675</v>
      </c>
      <c r="CT61" s="56"/>
      <c r="CU61" s="55"/>
      <c r="CV61" s="56"/>
      <c r="CW61" s="9">
        <v>432857.37</v>
      </c>
      <c r="CX61" s="14">
        <v>0.02951891655455214</v>
      </c>
      <c r="CY61" s="10">
        <v>93</v>
      </c>
      <c r="CZ61" s="14">
        <v>0.005284090909090909</v>
      </c>
      <c r="DA61" s="56"/>
      <c r="DB61" s="55"/>
      <c r="DC61" s="56"/>
    </row>
    <row r="62" spans="1:107" ht="12.75">
      <c r="A62" s="8" t="s">
        <v>20</v>
      </c>
      <c r="B62" s="8"/>
      <c r="C62" s="8"/>
      <c r="D62" s="9">
        <v>613437.41</v>
      </c>
      <c r="E62" s="14">
        <f t="shared" si="10"/>
        <v>0.010181468208968215</v>
      </c>
      <c r="F62" s="10">
        <v>91</v>
      </c>
      <c r="G62" s="14">
        <f t="shared" si="11"/>
        <v>0.001188408446841576</v>
      </c>
      <c r="H62" s="8"/>
      <c r="I62" s="8"/>
      <c r="J62" s="9">
        <v>308104.47</v>
      </c>
      <c r="K62" s="14">
        <f t="shared" si="13"/>
        <v>0.007211476124643952</v>
      </c>
      <c r="L62" s="10">
        <v>46</v>
      </c>
      <c r="M62" s="14">
        <f t="shared" si="14"/>
        <v>0.0007536535814928894</v>
      </c>
      <c r="N62" s="56"/>
      <c r="O62" s="55"/>
      <c r="P62" s="56"/>
      <c r="Q62" s="9">
        <v>434406.87</v>
      </c>
      <c r="R62" s="14">
        <v>0.008775569056184623</v>
      </c>
      <c r="S62" s="10">
        <v>64</v>
      </c>
      <c r="T62" s="14">
        <f t="shared" si="12"/>
        <v>0.0009753867255962814</v>
      </c>
      <c r="U62" s="56"/>
      <c r="V62" s="55"/>
      <c r="W62" s="56"/>
      <c r="X62" s="9">
        <v>398035.43</v>
      </c>
      <c r="Y62" s="14">
        <v>0.00897884612260863</v>
      </c>
      <c r="Z62" s="10">
        <v>59</v>
      </c>
      <c r="AA62" s="14">
        <v>0.001028412062053338</v>
      </c>
      <c r="AB62" s="56"/>
      <c r="AC62" s="55"/>
      <c r="AD62" s="56"/>
      <c r="AE62" s="9">
        <v>255635.26</v>
      </c>
      <c r="AF62" s="14">
        <v>0.006837785247700634</v>
      </c>
      <c r="AG62" s="10">
        <v>38</v>
      </c>
      <c r="AH62" s="14">
        <v>0.0007624551054395153</v>
      </c>
      <c r="AI62" s="56"/>
      <c r="AJ62" s="55"/>
      <c r="AK62" s="56"/>
      <c r="AL62" s="9">
        <v>188814.93</v>
      </c>
      <c r="AM62" s="14">
        <v>0.0054058384960132865</v>
      </c>
      <c r="AN62" s="10">
        <v>28</v>
      </c>
      <c r="AO62" s="14">
        <v>0.0005958080646877328</v>
      </c>
      <c r="AP62" s="56"/>
      <c r="AQ62" s="55"/>
      <c r="AR62" s="56"/>
      <c r="AS62" s="9">
        <v>161174.64</v>
      </c>
      <c r="AT62" s="14">
        <v>0.0050354293601126325</v>
      </c>
      <c r="AU62" s="10">
        <v>23</v>
      </c>
      <c r="AV62" s="14">
        <v>0.0005462015246146904</v>
      </c>
      <c r="AW62" s="56"/>
      <c r="AX62" s="55"/>
      <c r="AY62" s="56"/>
      <c r="AZ62" s="9">
        <v>191918.71</v>
      </c>
      <c r="BA62" s="14">
        <v>0.00547194868919902</v>
      </c>
      <c r="BB62" s="10">
        <v>28</v>
      </c>
      <c r="BC62" s="14">
        <v>0.0006517084070384508</v>
      </c>
      <c r="BD62" s="56"/>
      <c r="BE62" s="55"/>
      <c r="BF62" s="56"/>
      <c r="BG62" s="9">
        <v>144864.39</v>
      </c>
      <c r="BH62" s="14">
        <v>0.004894153694213924</v>
      </c>
      <c r="BI62" s="10">
        <v>21</v>
      </c>
      <c r="BJ62" s="14">
        <v>0.0005626255860683188</v>
      </c>
      <c r="BK62" s="56"/>
      <c r="BL62" s="55"/>
      <c r="BM62" s="56"/>
      <c r="BN62" s="9">
        <v>100172.44</v>
      </c>
      <c r="BO62" s="14">
        <v>0.0038432111214880813</v>
      </c>
      <c r="BP62" s="10">
        <v>15</v>
      </c>
      <c r="BQ62" s="14">
        <v>0.0004556500607533414</v>
      </c>
      <c r="BR62" s="56"/>
      <c r="BS62" s="55"/>
      <c r="BT62" s="56"/>
      <c r="BU62" s="9">
        <v>109806.33</v>
      </c>
      <c r="BV62" s="14">
        <v>0.004532167907340814</v>
      </c>
      <c r="BW62" s="10">
        <v>16</v>
      </c>
      <c r="BX62" s="14">
        <v>0.0005223807502693525</v>
      </c>
      <c r="BY62" s="56"/>
      <c r="BZ62" s="55"/>
      <c r="CA62" s="56"/>
      <c r="CB62" s="9">
        <v>159244.14</v>
      </c>
      <c r="CC62" s="14">
        <v>0.0062653389378939574</v>
      </c>
      <c r="CD62" s="10">
        <v>23</v>
      </c>
      <c r="CE62" s="14">
        <v>0.0007559821193794373</v>
      </c>
      <c r="CF62" s="56"/>
      <c r="CG62" s="55"/>
      <c r="CH62" s="56"/>
      <c r="CI62" s="9">
        <v>76006.86</v>
      </c>
      <c r="CJ62" s="14">
        <v>0.004054269619518393</v>
      </c>
      <c r="CK62" s="10">
        <v>11</v>
      </c>
      <c r="CL62" s="14">
        <v>0.00046237915090374107</v>
      </c>
      <c r="CM62" s="56"/>
      <c r="CN62" s="55"/>
      <c r="CO62" s="56"/>
      <c r="CP62" s="9">
        <v>48094.82</v>
      </c>
      <c r="CQ62" s="14">
        <v>0.0033590972434871143</v>
      </c>
      <c r="CR62" s="10">
        <v>7</v>
      </c>
      <c r="CS62" s="14">
        <v>0.00037547604999195407</v>
      </c>
      <c r="CT62" s="56"/>
      <c r="CU62" s="55"/>
      <c r="CV62" s="56"/>
      <c r="CW62" s="9">
        <v>80203.2</v>
      </c>
      <c r="CX62" s="14">
        <v>0.005469495802296391</v>
      </c>
      <c r="CY62" s="10">
        <v>12</v>
      </c>
      <c r="CZ62" s="14">
        <v>0.0006818181818181819</v>
      </c>
      <c r="DA62" s="56"/>
      <c r="DB62" s="55"/>
      <c r="DC62" s="56"/>
    </row>
    <row r="63" spans="1:107" ht="12.75">
      <c r="A63" s="8" t="s">
        <v>21</v>
      </c>
      <c r="B63" s="8"/>
      <c r="C63" s="8"/>
      <c r="D63" s="9">
        <v>247147.81</v>
      </c>
      <c r="E63" s="14">
        <f t="shared" si="10"/>
        <v>0.004102011923973004</v>
      </c>
      <c r="F63" s="10">
        <v>28</v>
      </c>
      <c r="G63" s="14">
        <f t="shared" si="11"/>
        <v>0.0003656641374897157</v>
      </c>
      <c r="H63" s="8"/>
      <c r="I63" s="8"/>
      <c r="J63" s="9">
        <v>158116.93</v>
      </c>
      <c r="K63" s="14">
        <f t="shared" si="13"/>
        <v>0.0037008760878964177</v>
      </c>
      <c r="L63" s="10">
        <v>18</v>
      </c>
      <c r="M63" s="14">
        <f t="shared" si="14"/>
        <v>0.00029490792319286977</v>
      </c>
      <c r="N63" s="56"/>
      <c r="O63" s="55"/>
      <c r="P63" s="56"/>
      <c r="Q63" s="9">
        <v>222790.96</v>
      </c>
      <c r="R63" s="14">
        <v>0.004500659611054647</v>
      </c>
      <c r="S63" s="10">
        <v>25</v>
      </c>
      <c r="T63" s="14">
        <f t="shared" si="12"/>
        <v>0.0003810104396860474</v>
      </c>
      <c r="U63" s="56"/>
      <c r="V63" s="55"/>
      <c r="W63" s="56"/>
      <c r="X63" s="9">
        <v>237172.82</v>
      </c>
      <c r="Y63" s="14">
        <v>0.00535012236283879</v>
      </c>
      <c r="Z63" s="10">
        <v>27</v>
      </c>
      <c r="AA63" s="14">
        <v>0.0004706292487362733</v>
      </c>
      <c r="AB63" s="56"/>
      <c r="AC63" s="55"/>
      <c r="AD63" s="56"/>
      <c r="AE63" s="9">
        <v>198818.27</v>
      </c>
      <c r="AF63" s="14">
        <v>0.005318032549889095</v>
      </c>
      <c r="AG63" s="10">
        <v>23</v>
      </c>
      <c r="AH63" s="14">
        <v>0.0004614859848712855</v>
      </c>
      <c r="AI63" s="56"/>
      <c r="AJ63" s="55"/>
      <c r="AK63" s="56"/>
      <c r="AL63" s="9">
        <v>159145.71</v>
      </c>
      <c r="AM63" s="14">
        <v>0.004556398191569738</v>
      </c>
      <c r="AN63" s="10">
        <v>18</v>
      </c>
      <c r="AO63" s="14">
        <v>0.0003830194701563996</v>
      </c>
      <c r="AP63" s="56"/>
      <c r="AQ63" s="55"/>
      <c r="AR63" s="56"/>
      <c r="AS63" s="9">
        <v>88923.4</v>
      </c>
      <c r="AT63" s="14">
        <v>0.0027781510736493015</v>
      </c>
      <c r="AU63" s="10">
        <v>10</v>
      </c>
      <c r="AV63" s="14">
        <v>0.00023747892374551758</v>
      </c>
      <c r="AW63" s="56"/>
      <c r="AX63" s="55"/>
      <c r="AY63" s="56"/>
      <c r="AZ63" s="9">
        <v>120971.03</v>
      </c>
      <c r="BA63" s="14">
        <v>0.0034491023258730494</v>
      </c>
      <c r="BB63" s="10">
        <v>14</v>
      </c>
      <c r="BC63" s="14">
        <v>0.0003258542035192254</v>
      </c>
      <c r="BD63" s="56"/>
      <c r="BE63" s="55"/>
      <c r="BF63" s="56"/>
      <c r="BG63" s="9">
        <v>54572.22</v>
      </c>
      <c r="BH63" s="14">
        <v>0.001843688653329193</v>
      </c>
      <c r="BI63" s="10">
        <v>6</v>
      </c>
      <c r="BJ63" s="14">
        <v>0.0001607501674480911</v>
      </c>
      <c r="BK63" s="56"/>
      <c r="BL63" s="55"/>
      <c r="BM63" s="56"/>
      <c r="BN63" s="9">
        <v>54850.63</v>
      </c>
      <c r="BO63" s="14">
        <v>0.0021043966907128126</v>
      </c>
      <c r="BP63" s="10">
        <v>6</v>
      </c>
      <c r="BQ63" s="14">
        <v>0.00018226002430133658</v>
      </c>
      <c r="BR63" s="56"/>
      <c r="BS63" s="55"/>
      <c r="BT63" s="56"/>
      <c r="BU63" s="9">
        <v>79882.76</v>
      </c>
      <c r="BV63" s="14">
        <v>0.0032970966357022263</v>
      </c>
      <c r="BW63" s="10">
        <v>9</v>
      </c>
      <c r="BX63" s="14">
        <v>0.0002938391720265108</v>
      </c>
      <c r="BY63" s="56"/>
      <c r="BZ63" s="55"/>
      <c r="CA63" s="56"/>
      <c r="CB63" s="9">
        <v>91092.66</v>
      </c>
      <c r="CC63" s="14">
        <v>0.0035839710626358713</v>
      </c>
      <c r="CD63" s="10">
        <v>10</v>
      </c>
      <c r="CE63" s="14">
        <v>0.00032868787799105966</v>
      </c>
      <c r="CF63" s="56"/>
      <c r="CG63" s="55"/>
      <c r="CH63" s="56"/>
      <c r="CI63" s="9">
        <v>61003.4</v>
      </c>
      <c r="CJ63" s="14">
        <v>0.003253972487579784</v>
      </c>
      <c r="CK63" s="10">
        <v>7</v>
      </c>
      <c r="CL63" s="14">
        <v>0.0002942412778478352</v>
      </c>
      <c r="CM63" s="56"/>
      <c r="CN63" s="55"/>
      <c r="CO63" s="56"/>
      <c r="CP63" s="9">
        <v>27224.92</v>
      </c>
      <c r="CQ63" s="14">
        <v>0.0019014761615940591</v>
      </c>
      <c r="CR63" s="10">
        <v>3</v>
      </c>
      <c r="CS63" s="14">
        <v>0.0001609183071394089</v>
      </c>
      <c r="CT63" s="56"/>
      <c r="CU63" s="55"/>
      <c r="CV63" s="56"/>
      <c r="CW63" s="9">
        <v>36615.99</v>
      </c>
      <c r="CX63" s="14">
        <v>0.00249704505059557</v>
      </c>
      <c r="CY63" s="10">
        <v>4</v>
      </c>
      <c r="CZ63" s="14">
        <v>0.00022727272727272727</v>
      </c>
      <c r="DA63" s="56"/>
      <c r="DB63" s="55"/>
      <c r="DC63" s="56"/>
    </row>
    <row r="64" spans="1:107" ht="12.75">
      <c r="A64" s="8" t="s">
        <v>22</v>
      </c>
      <c r="B64" s="8"/>
      <c r="C64" s="8"/>
      <c r="D64" s="9">
        <v>66708.54</v>
      </c>
      <c r="E64" s="14">
        <f t="shared" si="10"/>
        <v>0.0011071885545367772</v>
      </c>
      <c r="F64" s="10">
        <v>6</v>
      </c>
      <c r="G64" s="14">
        <f t="shared" si="11"/>
        <v>7.835660089065336E-05</v>
      </c>
      <c r="H64" s="8"/>
      <c r="I64" s="8"/>
      <c r="J64" s="9">
        <v>56503.29</v>
      </c>
      <c r="K64" s="14">
        <f t="shared" si="13"/>
        <v>0.0013225128697380904</v>
      </c>
      <c r="L64" s="10">
        <v>5</v>
      </c>
      <c r="M64" s="14">
        <f t="shared" si="14"/>
        <v>8.191886755357494E-05</v>
      </c>
      <c r="N64" s="56"/>
      <c r="O64" s="55"/>
      <c r="P64" s="56"/>
      <c r="Q64" s="9">
        <v>100338.15</v>
      </c>
      <c r="R64" s="14">
        <v>0.0020269577327237283</v>
      </c>
      <c r="S64" s="10">
        <v>9</v>
      </c>
      <c r="T64" s="14">
        <f t="shared" si="12"/>
        <v>0.00013716375828697706</v>
      </c>
      <c r="U64" s="56"/>
      <c r="V64" s="55"/>
      <c r="W64" s="56"/>
      <c r="X64" s="9">
        <v>67593.97</v>
      </c>
      <c r="Y64" s="14">
        <v>0.001524778473730904</v>
      </c>
      <c r="Z64" s="10">
        <v>6</v>
      </c>
      <c r="AA64" s="14">
        <v>0.00010458427749694963</v>
      </c>
      <c r="AB64" s="56"/>
      <c r="AC64" s="55"/>
      <c r="AD64" s="56"/>
      <c r="AE64" s="9">
        <v>76619.85</v>
      </c>
      <c r="AF64" s="14">
        <v>0.0020494437270157312</v>
      </c>
      <c r="AG64" s="10">
        <v>7</v>
      </c>
      <c r="AH64" s="14">
        <v>0.00014045225626517385</v>
      </c>
      <c r="AI64" s="56"/>
      <c r="AJ64" s="55"/>
      <c r="AK64" s="56"/>
      <c r="AL64" s="9">
        <v>45905.23</v>
      </c>
      <c r="AM64" s="14">
        <v>0.0013142830363167997</v>
      </c>
      <c r="AN64" s="10">
        <v>4</v>
      </c>
      <c r="AO64" s="14">
        <v>8.511543781253324E-05</v>
      </c>
      <c r="AP64" s="56"/>
      <c r="AQ64" s="55"/>
      <c r="AR64" s="56"/>
      <c r="AS64" s="9">
        <v>54234.53</v>
      </c>
      <c r="AT64" s="14">
        <v>0.0016943989742673497</v>
      </c>
      <c r="AU64" s="10">
        <v>5</v>
      </c>
      <c r="AV64" s="14">
        <v>0.00011873946187275879</v>
      </c>
      <c r="AW64" s="56"/>
      <c r="AX64" s="55"/>
      <c r="AY64" s="56"/>
      <c r="AZ64" s="9">
        <v>21892</v>
      </c>
      <c r="BA64" s="14">
        <v>0.0006241804183862268</v>
      </c>
      <c r="BB64" s="10">
        <v>2</v>
      </c>
      <c r="BC64" s="14">
        <v>4.6550600502746487E-05</v>
      </c>
      <c r="BD64" s="56"/>
      <c r="BE64" s="55"/>
      <c r="BF64" s="56"/>
      <c r="BG64" s="9">
        <v>34876.87</v>
      </c>
      <c r="BH64" s="14">
        <v>0.0011782934519181617</v>
      </c>
      <c r="BI64" s="10">
        <v>3</v>
      </c>
      <c r="BJ64" s="14">
        <v>8.037508372404555E-05</v>
      </c>
      <c r="BK64" s="56"/>
      <c r="BL64" s="55"/>
      <c r="BM64" s="56"/>
      <c r="BN64" s="9">
        <v>54049.28</v>
      </c>
      <c r="BO64" s="14">
        <v>0.0020736521343038394</v>
      </c>
      <c r="BP64" s="10">
        <v>5</v>
      </c>
      <c r="BQ64" s="14">
        <v>0.00015188335358444713</v>
      </c>
      <c r="BR64" s="56"/>
      <c r="BS64" s="55"/>
      <c r="BT64" s="56"/>
      <c r="BU64" s="9">
        <v>32613.53</v>
      </c>
      <c r="BV64" s="14">
        <v>0.0013460972059725232</v>
      </c>
      <c r="BW64" s="10">
        <v>3</v>
      </c>
      <c r="BX64" s="14">
        <v>9.794639067550361E-05</v>
      </c>
      <c r="BY64" s="56"/>
      <c r="BZ64" s="55"/>
      <c r="CA64" s="56"/>
      <c r="CB64" s="9">
        <v>23629.68</v>
      </c>
      <c r="CC64" s="14">
        <v>0.0009296916934838174</v>
      </c>
      <c r="CD64" s="10">
        <v>2</v>
      </c>
      <c r="CE64" s="14">
        <v>6.573757559821194E-05</v>
      </c>
      <c r="CF64" s="56"/>
      <c r="CG64" s="55"/>
      <c r="CH64" s="56"/>
      <c r="CI64" s="9">
        <v>11803</v>
      </c>
      <c r="CJ64" s="14">
        <v>0.0006295819129901643</v>
      </c>
      <c r="CK64" s="10">
        <v>1</v>
      </c>
      <c r="CL64" s="14">
        <v>4.203446826397646E-05</v>
      </c>
      <c r="CM64" s="56"/>
      <c r="CN64" s="55"/>
      <c r="CO64" s="56"/>
      <c r="CP64" s="9">
        <v>22558.11</v>
      </c>
      <c r="CQ64" s="14">
        <v>0.0015755311095722803</v>
      </c>
      <c r="CR64" s="10">
        <v>2</v>
      </c>
      <c r="CS64" s="14">
        <v>0.0001072788714262726</v>
      </c>
      <c r="CT64" s="56"/>
      <c r="CU64" s="55"/>
      <c r="CV64" s="56"/>
      <c r="CW64" s="9">
        <v>11803</v>
      </c>
      <c r="CX64" s="14">
        <v>0.0008049112623249983</v>
      </c>
      <c r="CY64" s="10">
        <v>1</v>
      </c>
      <c r="CZ64" s="14">
        <v>5.681818181818182E-05</v>
      </c>
      <c r="DA64" s="56"/>
      <c r="DB64" s="55"/>
      <c r="DC64" s="56"/>
    </row>
    <row r="65" spans="1:107" ht="12.75">
      <c r="A65" s="8" t="s">
        <v>23</v>
      </c>
      <c r="B65" s="8"/>
      <c r="C65" s="8"/>
      <c r="D65" s="9">
        <v>77566.94</v>
      </c>
      <c r="E65" s="14">
        <f t="shared" si="10"/>
        <v>0.0012874098005808694</v>
      </c>
      <c r="F65" s="10">
        <v>6</v>
      </c>
      <c r="G65" s="14">
        <f t="shared" si="11"/>
        <v>7.835660089065336E-05</v>
      </c>
      <c r="H65" s="8"/>
      <c r="I65" s="8"/>
      <c r="J65" s="9">
        <v>13899.75</v>
      </c>
      <c r="K65" s="14">
        <f t="shared" si="13"/>
        <v>0.0003253367770468237</v>
      </c>
      <c r="L65" s="10">
        <v>1</v>
      </c>
      <c r="M65" s="14">
        <f t="shared" si="14"/>
        <v>1.638377351071499E-05</v>
      </c>
      <c r="N65" s="56"/>
      <c r="O65" s="55"/>
      <c r="P65" s="56"/>
      <c r="Q65" s="9">
        <v>52523.1</v>
      </c>
      <c r="R65" s="14">
        <v>0.0010610331533083045</v>
      </c>
      <c r="S65" s="10">
        <v>4</v>
      </c>
      <c r="T65" s="14">
        <f t="shared" si="12"/>
        <v>6.0961670349767586E-05</v>
      </c>
      <c r="U65" s="56"/>
      <c r="V65" s="55"/>
      <c r="W65" s="56"/>
      <c r="X65" s="9">
        <v>51428.86</v>
      </c>
      <c r="Y65" s="14">
        <v>0.0011601274293627129</v>
      </c>
      <c r="Z65" s="10">
        <v>4</v>
      </c>
      <c r="AA65" s="14">
        <v>6.972285166463308E-05</v>
      </c>
      <c r="AB65" s="56"/>
      <c r="AC65" s="55"/>
      <c r="AD65" s="56"/>
      <c r="AE65" s="9">
        <v>12876</v>
      </c>
      <c r="AF65" s="14">
        <v>0.0003444099333143376</v>
      </c>
      <c r="AG65" s="10">
        <v>1</v>
      </c>
      <c r="AH65" s="14">
        <v>2.006460803788198E-05</v>
      </c>
      <c r="AI65" s="56"/>
      <c r="AJ65" s="55"/>
      <c r="AK65" s="56"/>
      <c r="AL65" s="9">
        <v>50235.79</v>
      </c>
      <c r="AM65" s="14">
        <v>0.001438268506942959</v>
      </c>
      <c r="AN65" s="10">
        <v>4</v>
      </c>
      <c r="AO65" s="14">
        <v>8.511543781253324E-05</v>
      </c>
      <c r="AP65" s="56"/>
      <c r="AQ65" s="55"/>
      <c r="AR65" s="56"/>
      <c r="AS65" s="9">
        <v>37611.9</v>
      </c>
      <c r="AT65" s="14">
        <v>0.0011750736068007988</v>
      </c>
      <c r="AU65" s="10">
        <v>3</v>
      </c>
      <c r="AV65" s="14">
        <v>7.124367712365528E-05</v>
      </c>
      <c r="AW65" s="56"/>
      <c r="AX65" s="55"/>
      <c r="AY65" s="56"/>
      <c r="AZ65" s="9">
        <v>50100.91</v>
      </c>
      <c r="BA65" s="14">
        <v>0.0014284673380838067</v>
      </c>
      <c r="BB65" s="10">
        <v>4</v>
      </c>
      <c r="BC65" s="14">
        <v>9.310120100549297E-05</v>
      </c>
      <c r="BD65" s="56"/>
      <c r="BE65" s="55"/>
      <c r="BF65" s="56"/>
      <c r="BG65" s="9">
        <v>50615.36</v>
      </c>
      <c r="BH65" s="14">
        <v>0.001710008588915245</v>
      </c>
      <c r="BI65" s="10">
        <v>4</v>
      </c>
      <c r="BJ65" s="14">
        <v>0.0001071667782987274</v>
      </c>
      <c r="BK65" s="56"/>
      <c r="BL65" s="55"/>
      <c r="BM65" s="56"/>
      <c r="BN65" s="9">
        <v>38369.4</v>
      </c>
      <c r="BO65" s="14">
        <v>0.001472078595717792</v>
      </c>
      <c r="BP65" s="10">
        <v>3</v>
      </c>
      <c r="BQ65" s="14">
        <v>9.113001215066829E-05</v>
      </c>
      <c r="BR65" s="56"/>
      <c r="BS65" s="55"/>
      <c r="BT65" s="56"/>
      <c r="BU65" s="9">
        <v>38369.4</v>
      </c>
      <c r="BV65" s="14">
        <v>0.001583666108355708</v>
      </c>
      <c r="BW65" s="10">
        <v>3</v>
      </c>
      <c r="BX65" s="14">
        <v>9.794639067550361E-05</v>
      </c>
      <c r="BY65" s="56"/>
      <c r="BZ65" s="55"/>
      <c r="CA65" s="56"/>
      <c r="CB65" s="9">
        <v>39069.15</v>
      </c>
      <c r="CC65" s="14">
        <v>0.0015371458363580585</v>
      </c>
      <c r="CD65" s="10">
        <v>3</v>
      </c>
      <c r="CE65" s="14">
        <v>9.86063633973179E-05</v>
      </c>
      <c r="CF65" s="56"/>
      <c r="CG65" s="55"/>
      <c r="CH65" s="56"/>
      <c r="CI65" s="9">
        <v>51098.5</v>
      </c>
      <c r="CJ65" s="14">
        <v>0.002725636819531298</v>
      </c>
      <c r="CK65" s="10">
        <v>4</v>
      </c>
      <c r="CL65" s="14">
        <v>0.00016813787305590584</v>
      </c>
      <c r="CM65" s="56"/>
      <c r="CN65" s="55"/>
      <c r="CO65" s="56"/>
      <c r="CP65" s="9">
        <v>25540.65</v>
      </c>
      <c r="CQ65" s="14">
        <v>0.00178384131621387</v>
      </c>
      <c r="CR65" s="10">
        <v>2</v>
      </c>
      <c r="CS65" s="14">
        <v>0.0001072788714262726</v>
      </c>
      <c r="CT65" s="56"/>
      <c r="CU65" s="55"/>
      <c r="CV65" s="56"/>
      <c r="CW65" s="9">
        <v>38967.86</v>
      </c>
      <c r="CX65" s="14">
        <v>0.0026574319565113792</v>
      </c>
      <c r="CY65" s="10">
        <v>3</v>
      </c>
      <c r="CZ65" s="14">
        <v>0.00017045454545454547</v>
      </c>
      <c r="DA65" s="56"/>
      <c r="DB65" s="55"/>
      <c r="DC65" s="56"/>
    </row>
    <row r="66" spans="1:107" ht="12.75">
      <c r="A66" s="8" t="s">
        <v>24</v>
      </c>
      <c r="B66" s="8"/>
      <c r="C66" s="8"/>
      <c r="D66" s="9">
        <v>73606.45</v>
      </c>
      <c r="E66" s="14">
        <f t="shared" si="10"/>
        <v>0.0012216759500370353</v>
      </c>
      <c r="F66" s="10">
        <v>5</v>
      </c>
      <c r="G66" s="14">
        <f t="shared" si="11"/>
        <v>6.52971674088778E-05</v>
      </c>
      <c r="H66" s="8"/>
      <c r="I66" s="8"/>
      <c r="J66" s="9">
        <v>73746.18</v>
      </c>
      <c r="K66" s="14">
        <f t="shared" si="13"/>
        <v>0.001726098996076543</v>
      </c>
      <c r="L66" s="10">
        <v>5</v>
      </c>
      <c r="M66" s="14">
        <f t="shared" si="14"/>
        <v>8.191886755357494E-05</v>
      </c>
      <c r="N66" s="56"/>
      <c r="O66" s="55"/>
      <c r="P66" s="56"/>
      <c r="Q66" s="9">
        <v>90555.47</v>
      </c>
      <c r="R66" s="14">
        <v>0.0018293352045750453</v>
      </c>
      <c r="S66" s="10">
        <v>6</v>
      </c>
      <c r="T66" s="14">
        <f t="shared" si="12"/>
        <v>9.144250552465138E-05</v>
      </c>
      <c r="U66" s="56"/>
      <c r="V66" s="55"/>
      <c r="W66" s="56"/>
      <c r="X66" s="9">
        <v>74607.44</v>
      </c>
      <c r="Y66" s="14">
        <v>0.0016829876761517335</v>
      </c>
      <c r="Z66" s="10">
        <v>5</v>
      </c>
      <c r="AA66" s="14">
        <v>8.715356458079135E-05</v>
      </c>
      <c r="AB66" s="56"/>
      <c r="AC66" s="55"/>
      <c r="AD66" s="56"/>
      <c r="AE66" s="9">
        <v>30707.76</v>
      </c>
      <c r="AF66" s="14">
        <v>0.0008213775686418674</v>
      </c>
      <c r="AG66" s="10">
        <v>2</v>
      </c>
      <c r="AH66" s="14">
        <v>4.012921607576396E-05</v>
      </c>
      <c r="AI66" s="56"/>
      <c r="AJ66" s="55"/>
      <c r="AK66" s="56"/>
      <c r="AL66" s="9">
        <v>15900.75</v>
      </c>
      <c r="AM66" s="14">
        <v>0.00045524411901899534</v>
      </c>
      <c r="AN66" s="10">
        <v>1</v>
      </c>
      <c r="AO66" s="14">
        <v>2.127885945313331E-05</v>
      </c>
      <c r="AP66" s="56"/>
      <c r="AQ66" s="55"/>
      <c r="AR66" s="56"/>
      <c r="AS66" s="9">
        <v>15900.75</v>
      </c>
      <c r="AT66" s="14">
        <v>0.0004967723420868875</v>
      </c>
      <c r="AU66" s="10">
        <v>1</v>
      </c>
      <c r="AV66" s="14">
        <v>2.3747892374551757E-05</v>
      </c>
      <c r="AW66" s="56"/>
      <c r="AX66" s="55"/>
      <c r="AY66" s="56"/>
      <c r="AZ66" s="9">
        <v>31676.8</v>
      </c>
      <c r="BA66" s="14">
        <v>0.000903162720497754</v>
      </c>
      <c r="BB66" s="10">
        <v>2</v>
      </c>
      <c r="BC66" s="14">
        <v>4.6550600502746487E-05</v>
      </c>
      <c r="BD66" s="56"/>
      <c r="BE66" s="55"/>
      <c r="BF66" s="56"/>
      <c r="BG66" s="9">
        <v>30749.94</v>
      </c>
      <c r="BH66" s="14">
        <v>0.0010388676778872747</v>
      </c>
      <c r="BI66" s="10">
        <v>2</v>
      </c>
      <c r="BJ66" s="14">
        <v>5.35833891493637E-05</v>
      </c>
      <c r="BK66" s="56"/>
      <c r="BL66" s="55"/>
      <c r="BM66" s="56"/>
      <c r="BN66" s="9">
        <v>15900.75</v>
      </c>
      <c r="BO66" s="14">
        <v>0.0006100474266175568</v>
      </c>
      <c r="BP66" s="10">
        <v>1</v>
      </c>
      <c r="BQ66" s="14">
        <v>3.037667071688943E-05</v>
      </c>
      <c r="BR66" s="56"/>
      <c r="BS66" s="55"/>
      <c r="BT66" s="56"/>
      <c r="BU66" s="9">
        <v>15900.75</v>
      </c>
      <c r="BV66" s="14">
        <v>0.0006562906605898717</v>
      </c>
      <c r="BW66" s="10">
        <v>1</v>
      </c>
      <c r="BX66" s="14">
        <v>3.264879689183453E-05</v>
      </c>
      <c r="BY66" s="56"/>
      <c r="BZ66" s="55"/>
      <c r="CA66" s="56"/>
      <c r="CB66" s="9">
        <v>31761.75</v>
      </c>
      <c r="CC66" s="14">
        <v>0.00124964177024444</v>
      </c>
      <c r="CD66" s="10">
        <v>2</v>
      </c>
      <c r="CE66" s="14">
        <v>6.573757559821194E-05</v>
      </c>
      <c r="CF66" s="56"/>
      <c r="CG66" s="55"/>
      <c r="CH66" s="56"/>
      <c r="CI66" s="9">
        <v>31761.75</v>
      </c>
      <c r="CJ66" s="14">
        <v>0.0016941983669334364</v>
      </c>
      <c r="CK66" s="10">
        <v>2</v>
      </c>
      <c r="CL66" s="14">
        <v>8.406893652795292E-05</v>
      </c>
      <c r="CM66" s="56"/>
      <c r="CN66" s="55"/>
      <c r="CO66" s="56"/>
      <c r="CP66" s="9">
        <v>15900.75</v>
      </c>
      <c r="CQ66" s="14">
        <v>0.0011105596297975068</v>
      </c>
      <c r="CR66" s="10">
        <v>1</v>
      </c>
      <c r="CS66" s="14">
        <v>5.36394357131363E-05</v>
      </c>
      <c r="CT66" s="56"/>
      <c r="CU66" s="55"/>
      <c r="CV66" s="56"/>
      <c r="CW66" s="9">
        <v>29660.58</v>
      </c>
      <c r="CX66" s="14">
        <v>0.0020227175200450394</v>
      </c>
      <c r="CY66" s="10">
        <v>2</v>
      </c>
      <c r="CZ66" s="14">
        <v>0.00011363636363636364</v>
      </c>
      <c r="DA66" s="56"/>
      <c r="DB66" s="55"/>
      <c r="DC66" s="56"/>
    </row>
    <row r="67" spans="1:107" ht="12.75">
      <c r="A67" s="8" t="s">
        <v>0</v>
      </c>
      <c r="B67" s="8"/>
      <c r="C67" s="8"/>
      <c r="D67" s="9">
        <v>83499.1</v>
      </c>
      <c r="E67" s="14">
        <f t="shared" si="10"/>
        <v>0.0013858682536617027</v>
      </c>
      <c r="F67" s="10">
        <v>5</v>
      </c>
      <c r="G67" s="14">
        <f t="shared" si="11"/>
        <v>6.52971674088778E-05</v>
      </c>
      <c r="H67" s="8"/>
      <c r="I67" s="8"/>
      <c r="J67" s="9">
        <v>33183.02</v>
      </c>
      <c r="K67" s="14">
        <f t="shared" si="13"/>
        <v>0.0007766799244216831</v>
      </c>
      <c r="L67" s="10">
        <v>2</v>
      </c>
      <c r="M67" s="14">
        <f t="shared" si="14"/>
        <v>3.276754702142998E-05</v>
      </c>
      <c r="N67" s="56"/>
      <c r="O67" s="55"/>
      <c r="P67" s="56"/>
      <c r="Q67" s="9">
        <v>0</v>
      </c>
      <c r="R67" s="14">
        <v>0</v>
      </c>
      <c r="S67" s="10">
        <v>0</v>
      </c>
      <c r="T67" s="14">
        <f t="shared" si="12"/>
        <v>0</v>
      </c>
      <c r="U67" s="56"/>
      <c r="V67" s="55"/>
      <c r="W67" s="56"/>
      <c r="X67" s="9">
        <v>16628.66</v>
      </c>
      <c r="Y67" s="14">
        <v>0.0003751077620531851</v>
      </c>
      <c r="Z67" s="10">
        <v>1</v>
      </c>
      <c r="AA67" s="14">
        <v>1.743071291615827E-05</v>
      </c>
      <c r="AB67" s="56"/>
      <c r="AC67" s="55"/>
      <c r="AD67" s="56"/>
      <c r="AE67" s="9">
        <v>0</v>
      </c>
      <c r="AF67" s="14">
        <v>0</v>
      </c>
      <c r="AG67" s="10">
        <v>0</v>
      </c>
      <c r="AH67" s="14">
        <v>0</v>
      </c>
      <c r="AI67" s="56"/>
      <c r="AJ67" s="55"/>
      <c r="AK67" s="56"/>
      <c r="AL67" s="9">
        <v>32190</v>
      </c>
      <c r="AM67" s="14">
        <v>0.0009216111309983152</v>
      </c>
      <c r="AN67" s="10">
        <v>2</v>
      </c>
      <c r="AO67" s="14">
        <v>4.255771890626662E-05</v>
      </c>
      <c r="AP67" s="56"/>
      <c r="AQ67" s="55"/>
      <c r="AR67" s="56"/>
      <c r="AS67" s="9">
        <v>64520</v>
      </c>
      <c r="AT67" s="14">
        <v>0.0020157383463953573</v>
      </c>
      <c r="AU67" s="10">
        <v>4</v>
      </c>
      <c r="AV67" s="14">
        <v>9.499156949820703E-05</v>
      </c>
      <c r="AW67" s="56"/>
      <c r="AX67" s="55"/>
      <c r="AY67" s="56"/>
      <c r="AZ67" s="9">
        <v>16095</v>
      </c>
      <c r="BA67" s="14">
        <v>0.0004588974892164408</v>
      </c>
      <c r="BB67" s="10">
        <v>1</v>
      </c>
      <c r="BC67" s="14">
        <v>2.3275300251373243E-05</v>
      </c>
      <c r="BD67" s="56"/>
      <c r="BE67" s="55"/>
      <c r="BF67" s="56"/>
      <c r="BG67" s="9">
        <v>0</v>
      </c>
      <c r="BH67" s="14">
        <v>0</v>
      </c>
      <c r="BI67" s="10">
        <v>0</v>
      </c>
      <c r="BJ67" s="14">
        <v>0</v>
      </c>
      <c r="BK67" s="56"/>
      <c r="BL67" s="55"/>
      <c r="BM67" s="56"/>
      <c r="BN67" s="9">
        <v>0</v>
      </c>
      <c r="BO67" s="14">
        <v>0</v>
      </c>
      <c r="BP67" s="10">
        <v>0</v>
      </c>
      <c r="BQ67" s="14">
        <v>0</v>
      </c>
      <c r="BR67" s="56"/>
      <c r="BS67" s="55"/>
      <c r="BT67" s="56"/>
      <c r="BU67" s="9">
        <v>0</v>
      </c>
      <c r="BV67" s="14">
        <v>0</v>
      </c>
      <c r="BW67" s="10">
        <v>0</v>
      </c>
      <c r="BX67" s="14">
        <v>0</v>
      </c>
      <c r="BY67" s="56"/>
      <c r="BZ67" s="55"/>
      <c r="CA67" s="56"/>
      <c r="CB67" s="9">
        <v>0</v>
      </c>
      <c r="CC67" s="14">
        <v>0</v>
      </c>
      <c r="CD67" s="10">
        <v>0</v>
      </c>
      <c r="CE67" s="14">
        <v>0</v>
      </c>
      <c r="CF67" s="56"/>
      <c r="CG67" s="55"/>
      <c r="CH67" s="56"/>
      <c r="CI67" s="9">
        <v>0</v>
      </c>
      <c r="CJ67" s="14">
        <v>0</v>
      </c>
      <c r="CK67" s="10">
        <v>0</v>
      </c>
      <c r="CL67" s="14">
        <v>0</v>
      </c>
      <c r="CM67" s="56"/>
      <c r="CN67" s="55"/>
      <c r="CO67" s="56"/>
      <c r="CP67" s="9">
        <v>0</v>
      </c>
      <c r="CQ67" s="14">
        <v>0</v>
      </c>
      <c r="CR67" s="10">
        <v>0</v>
      </c>
      <c r="CS67" s="14">
        <v>0</v>
      </c>
      <c r="CT67" s="56"/>
      <c r="CU67" s="55"/>
      <c r="CV67" s="56"/>
      <c r="CW67" s="9">
        <v>16648.49</v>
      </c>
      <c r="CX67" s="14">
        <v>0.0011353517835893511</v>
      </c>
      <c r="CY67" s="10">
        <v>1</v>
      </c>
      <c r="CZ67" s="14">
        <v>5.681818181818182E-05</v>
      </c>
      <c r="DA67" s="56"/>
      <c r="DB67" s="55"/>
      <c r="DC67" s="56"/>
    </row>
    <row r="68" spans="1:107" ht="12.75">
      <c r="A68" s="8" t="s">
        <v>1</v>
      </c>
      <c r="B68" s="8"/>
      <c r="C68" s="8"/>
      <c r="D68" s="9">
        <v>36315.84</v>
      </c>
      <c r="E68" s="14">
        <f t="shared" si="10"/>
        <v>0.0006027486495190702</v>
      </c>
      <c r="F68" s="10">
        <v>2</v>
      </c>
      <c r="G68" s="14">
        <f t="shared" si="11"/>
        <v>2.611886696355112E-05</v>
      </c>
      <c r="H68" s="8"/>
      <c r="I68" s="8"/>
      <c r="J68" s="9">
        <v>18204.87</v>
      </c>
      <c r="K68" s="14">
        <f t="shared" si="13"/>
        <v>0.00042610217682738247</v>
      </c>
      <c r="L68" s="10">
        <v>1</v>
      </c>
      <c r="M68" s="14">
        <f t="shared" si="14"/>
        <v>1.638377351071499E-05</v>
      </c>
      <c r="N68" s="56"/>
      <c r="O68" s="55"/>
      <c r="P68" s="56"/>
      <c r="Q68" s="9">
        <v>0</v>
      </c>
      <c r="R68" s="14">
        <v>0</v>
      </c>
      <c r="S68" s="10">
        <v>0</v>
      </c>
      <c r="T68" s="14">
        <f t="shared" si="12"/>
        <v>0</v>
      </c>
      <c r="U68" s="56"/>
      <c r="V68" s="55"/>
      <c r="W68" s="56"/>
      <c r="X68" s="9">
        <v>19129.38</v>
      </c>
      <c r="Y68" s="14">
        <v>0.00043151877068055744</v>
      </c>
      <c r="Z68" s="10">
        <v>1</v>
      </c>
      <c r="AA68" s="14">
        <v>1.743071291615827E-05</v>
      </c>
      <c r="AB68" s="56"/>
      <c r="AC68" s="55"/>
      <c r="AD68" s="56"/>
      <c r="AE68" s="9">
        <v>38289.78</v>
      </c>
      <c r="AF68" s="14">
        <v>0.0010241830208465874</v>
      </c>
      <c r="AG68" s="10">
        <v>2</v>
      </c>
      <c r="AH68" s="14">
        <v>4.012921607576396E-05</v>
      </c>
      <c r="AI68" s="56"/>
      <c r="AJ68" s="55"/>
      <c r="AK68" s="56"/>
      <c r="AL68" s="9">
        <v>38289.78</v>
      </c>
      <c r="AM68" s="14">
        <v>0.001096249998492596</v>
      </c>
      <c r="AN68" s="10">
        <v>2</v>
      </c>
      <c r="AO68" s="14">
        <v>4.255771890626662E-05</v>
      </c>
      <c r="AP68" s="56"/>
      <c r="AQ68" s="55"/>
      <c r="AR68" s="56"/>
      <c r="AS68" s="9">
        <v>38289.78</v>
      </c>
      <c r="AT68" s="14">
        <v>0.001196251981107285</v>
      </c>
      <c r="AU68" s="10">
        <v>2</v>
      </c>
      <c r="AV68" s="14">
        <v>4.7495784749103514E-05</v>
      </c>
      <c r="AW68" s="56"/>
      <c r="AX68" s="55"/>
      <c r="AY68" s="56"/>
      <c r="AZ68" s="9">
        <v>38383.54</v>
      </c>
      <c r="BA68" s="14">
        <v>0.0010943839784553478</v>
      </c>
      <c r="BB68" s="10">
        <v>2</v>
      </c>
      <c r="BC68" s="14">
        <v>4.6550600502746487E-05</v>
      </c>
      <c r="BD68" s="56"/>
      <c r="BE68" s="55"/>
      <c r="BF68" s="56"/>
      <c r="BG68" s="9">
        <v>0</v>
      </c>
      <c r="BH68" s="14">
        <v>0</v>
      </c>
      <c r="BI68" s="10">
        <v>0</v>
      </c>
      <c r="BJ68" s="14">
        <v>0</v>
      </c>
      <c r="BK68" s="56"/>
      <c r="BL68" s="55"/>
      <c r="BM68" s="56"/>
      <c r="BN68" s="9">
        <v>0</v>
      </c>
      <c r="BO68" s="14">
        <v>0</v>
      </c>
      <c r="BP68" s="10">
        <v>0</v>
      </c>
      <c r="BQ68" s="14">
        <v>0</v>
      </c>
      <c r="BR68" s="56"/>
      <c r="BS68" s="55"/>
      <c r="BT68" s="56"/>
      <c r="BU68" s="9">
        <v>0</v>
      </c>
      <c r="BV68" s="14">
        <v>0</v>
      </c>
      <c r="BW68" s="10">
        <v>0</v>
      </c>
      <c r="BX68" s="14">
        <v>0</v>
      </c>
      <c r="BY68" s="56"/>
      <c r="BZ68" s="55"/>
      <c r="CA68" s="56"/>
      <c r="CB68" s="9">
        <v>0</v>
      </c>
      <c r="CC68" s="14">
        <v>0</v>
      </c>
      <c r="CD68" s="10">
        <v>0</v>
      </c>
      <c r="CE68" s="14">
        <v>0</v>
      </c>
      <c r="CF68" s="56"/>
      <c r="CG68" s="55"/>
      <c r="CH68" s="56"/>
      <c r="CI68" s="9">
        <v>0</v>
      </c>
      <c r="CJ68" s="14">
        <v>0</v>
      </c>
      <c r="CK68" s="10">
        <v>0</v>
      </c>
      <c r="CL68" s="14">
        <v>0</v>
      </c>
      <c r="CM68" s="56"/>
      <c r="CN68" s="55"/>
      <c r="CO68" s="56"/>
      <c r="CP68" s="9">
        <v>0</v>
      </c>
      <c r="CQ68" s="14">
        <v>0</v>
      </c>
      <c r="CR68" s="10">
        <v>0</v>
      </c>
      <c r="CS68" s="14">
        <v>0</v>
      </c>
      <c r="CT68" s="56"/>
      <c r="CU68" s="55"/>
      <c r="CV68" s="56"/>
      <c r="CW68" s="9">
        <v>0</v>
      </c>
      <c r="CX68" s="14">
        <v>0</v>
      </c>
      <c r="CY68" s="10">
        <v>0</v>
      </c>
      <c r="CZ68" s="14">
        <v>0</v>
      </c>
      <c r="DA68" s="56"/>
      <c r="DB68" s="55"/>
      <c r="DC68" s="56"/>
    </row>
    <row r="69" spans="1:107" ht="12.75">
      <c r="A69" s="8" t="s">
        <v>2</v>
      </c>
      <c r="B69" s="8"/>
      <c r="C69" s="8"/>
      <c r="D69" s="9">
        <v>0</v>
      </c>
      <c r="E69" s="14">
        <f t="shared" si="10"/>
        <v>0</v>
      </c>
      <c r="F69" s="10">
        <v>0</v>
      </c>
      <c r="G69" s="14">
        <f t="shared" si="11"/>
        <v>0</v>
      </c>
      <c r="H69" s="8"/>
      <c r="I69" s="8"/>
      <c r="J69" s="9">
        <v>0</v>
      </c>
      <c r="K69" s="14">
        <f t="shared" si="13"/>
        <v>0</v>
      </c>
      <c r="L69" s="10">
        <v>0</v>
      </c>
      <c r="M69" s="14">
        <f t="shared" si="14"/>
        <v>0</v>
      </c>
      <c r="N69" s="56"/>
      <c r="O69" s="55"/>
      <c r="P69" s="56"/>
      <c r="Q69" s="9">
        <v>0</v>
      </c>
      <c r="R69" s="14">
        <v>0</v>
      </c>
      <c r="S69" s="10">
        <v>0</v>
      </c>
      <c r="T69" s="14">
        <f t="shared" si="12"/>
        <v>0</v>
      </c>
      <c r="U69" s="56"/>
      <c r="V69" s="55"/>
      <c r="W69" s="56"/>
      <c r="X69" s="9">
        <v>0</v>
      </c>
      <c r="Y69" s="14">
        <v>0</v>
      </c>
      <c r="Z69" s="10">
        <v>0</v>
      </c>
      <c r="AA69" s="14">
        <v>0</v>
      </c>
      <c r="AB69" s="56"/>
      <c r="AC69" s="55"/>
      <c r="AD69" s="56"/>
      <c r="AE69" s="9">
        <v>0</v>
      </c>
      <c r="AF69" s="14">
        <v>0</v>
      </c>
      <c r="AG69" s="10">
        <v>0</v>
      </c>
      <c r="AH69" s="14">
        <v>0</v>
      </c>
      <c r="AI69" s="56"/>
      <c r="AJ69" s="55"/>
      <c r="AK69" s="56"/>
      <c r="AL69" s="9">
        <v>0</v>
      </c>
      <c r="AM69" s="14">
        <v>0</v>
      </c>
      <c r="AN69" s="10">
        <v>0</v>
      </c>
      <c r="AO69" s="14">
        <v>0</v>
      </c>
      <c r="AP69" s="56"/>
      <c r="AQ69" s="55"/>
      <c r="AR69" s="56"/>
      <c r="AS69" s="9">
        <v>22992.16</v>
      </c>
      <c r="AT69" s="14">
        <v>0.0007183226686059746</v>
      </c>
      <c r="AU69" s="10">
        <v>1</v>
      </c>
      <c r="AV69" s="14">
        <v>2.3747892374551757E-05</v>
      </c>
      <c r="AW69" s="56"/>
      <c r="AX69" s="55"/>
      <c r="AY69" s="56"/>
      <c r="AZ69" s="9">
        <v>0</v>
      </c>
      <c r="BA69" s="14">
        <v>0</v>
      </c>
      <c r="BB69" s="10">
        <v>0</v>
      </c>
      <c r="BC69" s="14">
        <v>0</v>
      </c>
      <c r="BD69" s="56"/>
      <c r="BE69" s="55"/>
      <c r="BF69" s="56"/>
      <c r="BG69" s="9">
        <v>0</v>
      </c>
      <c r="BH69" s="14">
        <v>0</v>
      </c>
      <c r="BI69" s="10">
        <v>0</v>
      </c>
      <c r="BJ69" s="14">
        <v>0</v>
      </c>
      <c r="BK69" s="56"/>
      <c r="BL69" s="55"/>
      <c r="BM69" s="56"/>
      <c r="BN69" s="9">
        <v>0</v>
      </c>
      <c r="BO69" s="14">
        <v>0</v>
      </c>
      <c r="BP69" s="10">
        <v>0</v>
      </c>
      <c r="BQ69" s="14">
        <v>0</v>
      </c>
      <c r="BR69" s="56"/>
      <c r="BS69" s="55"/>
      <c r="BT69" s="56"/>
      <c r="BU69" s="9">
        <v>0</v>
      </c>
      <c r="BV69" s="14">
        <v>0</v>
      </c>
      <c r="BW69" s="10">
        <v>0</v>
      </c>
      <c r="BX69" s="14">
        <v>0</v>
      </c>
      <c r="BY69" s="56"/>
      <c r="BZ69" s="55"/>
      <c r="CA69" s="56"/>
      <c r="CB69" s="9">
        <v>24844.4</v>
      </c>
      <c r="CC69" s="14">
        <v>0.0009774839231673621</v>
      </c>
      <c r="CD69" s="10">
        <v>1</v>
      </c>
      <c r="CE69" s="14">
        <v>3.286878779910597E-05</v>
      </c>
      <c r="CF69" s="56"/>
      <c r="CG69" s="55"/>
      <c r="CH69" s="56"/>
      <c r="CI69" s="9">
        <v>24844.4</v>
      </c>
      <c r="CJ69" s="14">
        <v>0.001325221119977365</v>
      </c>
      <c r="CK69" s="10">
        <v>1</v>
      </c>
      <c r="CL69" s="14">
        <v>4.203446826397646E-05</v>
      </c>
      <c r="CM69" s="56"/>
      <c r="CN69" s="55"/>
      <c r="CO69" s="56"/>
      <c r="CP69" s="9">
        <v>0</v>
      </c>
      <c r="CQ69" s="14">
        <v>0</v>
      </c>
      <c r="CR69" s="10">
        <v>0</v>
      </c>
      <c r="CS69" s="14">
        <v>0</v>
      </c>
      <c r="CT69" s="56"/>
      <c r="CU69" s="55"/>
      <c r="CV69" s="56"/>
      <c r="CW69" s="9">
        <v>0</v>
      </c>
      <c r="CX69" s="14">
        <v>0</v>
      </c>
      <c r="CY69" s="10">
        <v>0</v>
      </c>
      <c r="CZ69" s="14">
        <v>0</v>
      </c>
      <c r="DA69" s="56"/>
      <c r="DB69" s="55"/>
      <c r="DC69" s="56"/>
    </row>
    <row r="70" spans="1:107" ht="12.75">
      <c r="A70" s="8" t="s">
        <v>3</v>
      </c>
      <c r="B70" s="8"/>
      <c r="C70" s="8"/>
      <c r="D70" s="9">
        <v>0</v>
      </c>
      <c r="E70" s="14">
        <f t="shared" si="10"/>
        <v>0</v>
      </c>
      <c r="F70" s="10">
        <v>0</v>
      </c>
      <c r="G70" s="14">
        <f t="shared" si="11"/>
        <v>0</v>
      </c>
      <c r="H70" s="8"/>
      <c r="I70" s="8"/>
      <c r="J70" s="9">
        <v>0</v>
      </c>
      <c r="K70" s="14">
        <f t="shared" si="13"/>
        <v>0</v>
      </c>
      <c r="L70" s="10">
        <v>0</v>
      </c>
      <c r="M70" s="14">
        <f t="shared" si="14"/>
        <v>0</v>
      </c>
      <c r="N70" s="56"/>
      <c r="O70" s="55"/>
      <c r="P70" s="56"/>
      <c r="Q70" s="9">
        <v>0</v>
      </c>
      <c r="R70" s="14">
        <v>0</v>
      </c>
      <c r="S70" s="10">
        <v>0</v>
      </c>
      <c r="T70" s="14">
        <f t="shared" si="12"/>
        <v>0</v>
      </c>
      <c r="U70" s="56"/>
      <c r="V70" s="55"/>
      <c r="W70" s="56"/>
      <c r="X70" s="9">
        <v>0</v>
      </c>
      <c r="Y70" s="14">
        <v>0</v>
      </c>
      <c r="Z70" s="10">
        <v>0</v>
      </c>
      <c r="AA70" s="14">
        <v>0</v>
      </c>
      <c r="AB70" s="56"/>
      <c r="AC70" s="55"/>
      <c r="AD70" s="56"/>
      <c r="AE70" s="9">
        <v>0</v>
      </c>
      <c r="AF70" s="14">
        <v>0</v>
      </c>
      <c r="AG70" s="10">
        <v>0</v>
      </c>
      <c r="AH70" s="14">
        <v>0</v>
      </c>
      <c r="AI70" s="56"/>
      <c r="AJ70" s="55"/>
      <c r="AK70" s="56"/>
      <c r="AL70" s="9">
        <v>26862.92</v>
      </c>
      <c r="AM70" s="14">
        <v>0.0007690949388977092</v>
      </c>
      <c r="AN70" s="10">
        <v>1</v>
      </c>
      <c r="AO70" s="14">
        <v>2.127885945313331E-05</v>
      </c>
      <c r="AP70" s="56"/>
      <c r="AQ70" s="55"/>
      <c r="AR70" s="56"/>
      <c r="AS70" s="9">
        <v>0</v>
      </c>
      <c r="AT70" s="14">
        <v>0</v>
      </c>
      <c r="AU70" s="10">
        <v>0</v>
      </c>
      <c r="AV70" s="14">
        <v>0</v>
      </c>
      <c r="AW70" s="56"/>
      <c r="AX70" s="55"/>
      <c r="AY70" s="56"/>
      <c r="AZ70" s="9">
        <v>0</v>
      </c>
      <c r="BA70" s="14">
        <v>0</v>
      </c>
      <c r="BB70" s="10">
        <v>0</v>
      </c>
      <c r="BC70" s="14">
        <v>0</v>
      </c>
      <c r="BD70" s="56"/>
      <c r="BE70" s="55"/>
      <c r="BF70" s="56"/>
      <c r="BG70" s="9">
        <v>0</v>
      </c>
      <c r="BH70" s="14">
        <v>0</v>
      </c>
      <c r="BI70" s="10">
        <v>0</v>
      </c>
      <c r="BJ70" s="14">
        <v>0</v>
      </c>
      <c r="BK70" s="56"/>
      <c r="BL70" s="55"/>
      <c r="BM70" s="56"/>
      <c r="BN70" s="9">
        <v>0</v>
      </c>
      <c r="BO70" s="14">
        <v>0</v>
      </c>
      <c r="BP70" s="10">
        <v>0</v>
      </c>
      <c r="BQ70" s="14">
        <v>0</v>
      </c>
      <c r="BR70" s="56"/>
      <c r="BS70" s="55"/>
      <c r="BT70" s="56"/>
      <c r="BU70" s="9">
        <v>0</v>
      </c>
      <c r="BV70" s="14">
        <v>0</v>
      </c>
      <c r="BW70" s="10">
        <v>0</v>
      </c>
      <c r="BX70" s="14">
        <v>0</v>
      </c>
      <c r="BY70" s="56"/>
      <c r="BZ70" s="55"/>
      <c r="CA70" s="56"/>
      <c r="CB70" s="9">
        <v>0</v>
      </c>
      <c r="CC70" s="14">
        <v>0</v>
      </c>
      <c r="CD70" s="10">
        <v>0</v>
      </c>
      <c r="CE70" s="14">
        <v>0</v>
      </c>
      <c r="CF70" s="56"/>
      <c r="CG70" s="55"/>
      <c r="CH70" s="56"/>
      <c r="CI70" s="9">
        <v>0</v>
      </c>
      <c r="CJ70" s="14">
        <v>0</v>
      </c>
      <c r="CK70" s="10">
        <v>0</v>
      </c>
      <c r="CL70" s="14">
        <v>0</v>
      </c>
      <c r="CM70" s="56"/>
      <c r="CN70" s="55"/>
      <c r="CO70" s="56"/>
      <c r="CP70" s="9">
        <v>0</v>
      </c>
      <c r="CQ70" s="14">
        <v>0</v>
      </c>
      <c r="CR70" s="10">
        <v>0</v>
      </c>
      <c r="CS70" s="14">
        <v>0</v>
      </c>
      <c r="CT70" s="56"/>
      <c r="CU70" s="55"/>
      <c r="CV70" s="56"/>
      <c r="CW70" s="9">
        <v>0</v>
      </c>
      <c r="CX70" s="14">
        <v>0</v>
      </c>
      <c r="CY70" s="10">
        <v>0</v>
      </c>
      <c r="CZ70" s="14">
        <v>0</v>
      </c>
      <c r="DA70" s="56"/>
      <c r="DB70" s="55"/>
      <c r="DC70" s="56"/>
    </row>
    <row r="71" spans="1:107" ht="12.75">
      <c r="A71" s="8" t="s">
        <v>4</v>
      </c>
      <c r="B71" s="8"/>
      <c r="C71" s="8"/>
      <c r="D71" s="9">
        <v>0</v>
      </c>
      <c r="E71" s="14">
        <f t="shared" si="10"/>
        <v>0</v>
      </c>
      <c r="F71" s="10">
        <v>0</v>
      </c>
      <c r="G71" s="14">
        <f t="shared" si="11"/>
        <v>0</v>
      </c>
      <c r="H71" s="8"/>
      <c r="I71" s="8"/>
      <c r="J71" s="9">
        <v>0</v>
      </c>
      <c r="K71" s="14">
        <f t="shared" si="13"/>
        <v>0</v>
      </c>
      <c r="L71" s="10">
        <v>0</v>
      </c>
      <c r="M71" s="14">
        <f t="shared" si="14"/>
        <v>0</v>
      </c>
      <c r="N71" s="56"/>
      <c r="O71" s="55"/>
      <c r="P71" s="56"/>
      <c r="Q71" s="9">
        <v>0</v>
      </c>
      <c r="R71" s="14">
        <v>0</v>
      </c>
      <c r="S71" s="10">
        <v>0</v>
      </c>
      <c r="T71" s="14">
        <f t="shared" si="12"/>
        <v>0</v>
      </c>
      <c r="U71" s="56"/>
      <c r="V71" s="55"/>
      <c r="W71" s="56"/>
      <c r="X71" s="9">
        <v>0</v>
      </c>
      <c r="Y71" s="14">
        <v>0</v>
      </c>
      <c r="Z71" s="10">
        <v>0</v>
      </c>
      <c r="AA71" s="14">
        <v>0</v>
      </c>
      <c r="AB71" s="56"/>
      <c r="AC71" s="55"/>
      <c r="AD71" s="56"/>
      <c r="AE71" s="9">
        <v>0</v>
      </c>
      <c r="AF71" s="14">
        <v>0</v>
      </c>
      <c r="AG71" s="10">
        <v>0</v>
      </c>
      <c r="AH71" s="14">
        <v>0</v>
      </c>
      <c r="AI71" s="56"/>
      <c r="AJ71" s="55"/>
      <c r="AK71" s="56"/>
      <c r="AL71" s="9">
        <v>0</v>
      </c>
      <c r="AM71" s="14">
        <v>0</v>
      </c>
      <c r="AN71" s="10">
        <v>0</v>
      </c>
      <c r="AO71" s="14">
        <v>0</v>
      </c>
      <c r="AP71" s="56"/>
      <c r="AQ71" s="55"/>
      <c r="AR71" s="56"/>
      <c r="AS71" s="9">
        <v>0</v>
      </c>
      <c r="AT71" s="14">
        <v>0</v>
      </c>
      <c r="AU71" s="10">
        <v>0</v>
      </c>
      <c r="AV71" s="14">
        <v>0</v>
      </c>
      <c r="AW71" s="56"/>
      <c r="AX71" s="55"/>
      <c r="AY71" s="56"/>
      <c r="AZ71" s="9">
        <v>0</v>
      </c>
      <c r="BA71" s="14">
        <v>0</v>
      </c>
      <c r="BB71" s="10">
        <v>0</v>
      </c>
      <c r="BC71" s="14">
        <v>0</v>
      </c>
      <c r="BD71" s="56"/>
      <c r="BE71" s="55"/>
      <c r="BF71" s="56"/>
      <c r="BG71" s="9">
        <v>0</v>
      </c>
      <c r="BH71" s="14">
        <v>0</v>
      </c>
      <c r="BI71" s="10">
        <v>0</v>
      </c>
      <c r="BJ71" s="14">
        <v>0</v>
      </c>
      <c r="BK71" s="56"/>
      <c r="BL71" s="55"/>
      <c r="BM71" s="56"/>
      <c r="BN71" s="9">
        <v>0</v>
      </c>
      <c r="BO71" s="14">
        <v>0</v>
      </c>
      <c r="BP71" s="10">
        <v>0</v>
      </c>
      <c r="BQ71" s="14">
        <v>0</v>
      </c>
      <c r="BR71" s="56"/>
      <c r="BS71" s="55"/>
      <c r="BT71" s="56"/>
      <c r="BU71" s="9">
        <v>0</v>
      </c>
      <c r="BV71" s="14">
        <v>0</v>
      </c>
      <c r="BW71" s="10">
        <v>0</v>
      </c>
      <c r="BX71" s="14">
        <v>0</v>
      </c>
      <c r="BY71" s="56"/>
      <c r="BZ71" s="55"/>
      <c r="CA71" s="56"/>
      <c r="CB71" s="9">
        <v>0</v>
      </c>
      <c r="CC71" s="14">
        <v>0</v>
      </c>
      <c r="CD71" s="10">
        <v>0</v>
      </c>
      <c r="CE71" s="14">
        <v>0</v>
      </c>
      <c r="CF71" s="56"/>
      <c r="CG71" s="55"/>
      <c r="CH71" s="56"/>
      <c r="CI71" s="9">
        <v>0</v>
      </c>
      <c r="CJ71" s="14">
        <v>0</v>
      </c>
      <c r="CK71" s="10">
        <v>0</v>
      </c>
      <c r="CL71" s="14">
        <v>0</v>
      </c>
      <c r="CM71" s="56"/>
      <c r="CN71" s="55"/>
      <c r="CO71" s="56"/>
      <c r="CP71" s="9">
        <v>0</v>
      </c>
      <c r="CQ71" s="14">
        <v>0</v>
      </c>
      <c r="CR71" s="10">
        <v>0</v>
      </c>
      <c r="CS71" s="14">
        <v>0</v>
      </c>
      <c r="CT71" s="56"/>
      <c r="CU71" s="55"/>
      <c r="CV71" s="56"/>
      <c r="CW71" s="9">
        <v>0</v>
      </c>
      <c r="CX71" s="14">
        <v>0</v>
      </c>
      <c r="CY71" s="10">
        <v>0</v>
      </c>
      <c r="CZ71" s="14">
        <v>0</v>
      </c>
      <c r="DA71" s="56"/>
      <c r="DB71" s="55"/>
      <c r="DC71" s="56"/>
    </row>
    <row r="72" spans="1:107" ht="12.75">
      <c r="A72" s="8" t="s">
        <v>5</v>
      </c>
      <c r="B72" s="8"/>
      <c r="C72" s="8"/>
      <c r="D72" s="9">
        <v>0</v>
      </c>
      <c r="E72" s="14">
        <f t="shared" si="10"/>
        <v>0</v>
      </c>
      <c r="F72" s="10">
        <v>0</v>
      </c>
      <c r="G72" s="14">
        <f t="shared" si="11"/>
        <v>0</v>
      </c>
      <c r="H72" s="8"/>
      <c r="I72" s="8"/>
      <c r="J72" s="9">
        <v>0</v>
      </c>
      <c r="K72" s="14">
        <f t="shared" si="13"/>
        <v>0</v>
      </c>
      <c r="L72" s="10">
        <v>0</v>
      </c>
      <c r="M72" s="14">
        <f t="shared" si="14"/>
        <v>0</v>
      </c>
      <c r="N72" s="56"/>
      <c r="O72" s="55"/>
      <c r="P72" s="56"/>
      <c r="Q72" s="9">
        <v>0</v>
      </c>
      <c r="R72" s="14">
        <v>0</v>
      </c>
      <c r="S72" s="10">
        <v>0</v>
      </c>
      <c r="T72" s="14">
        <f t="shared" si="12"/>
        <v>0</v>
      </c>
      <c r="U72" s="56"/>
      <c r="V72" s="55"/>
      <c r="W72" s="56"/>
      <c r="X72" s="9">
        <v>0</v>
      </c>
      <c r="Y72" s="14">
        <v>0</v>
      </c>
      <c r="Z72" s="10">
        <v>0</v>
      </c>
      <c r="AA72" s="14">
        <v>0</v>
      </c>
      <c r="AB72" s="56"/>
      <c r="AC72" s="55"/>
      <c r="AD72" s="56"/>
      <c r="AE72" s="9">
        <v>0</v>
      </c>
      <c r="AF72" s="14">
        <v>0</v>
      </c>
      <c r="AG72" s="10">
        <v>0</v>
      </c>
      <c r="AH72" s="14">
        <v>0</v>
      </c>
      <c r="AI72" s="56"/>
      <c r="AJ72" s="55"/>
      <c r="AK72" s="56"/>
      <c r="AL72" s="9">
        <v>0</v>
      </c>
      <c r="AM72" s="14">
        <v>0</v>
      </c>
      <c r="AN72" s="10">
        <v>0</v>
      </c>
      <c r="AO72" s="14">
        <v>0</v>
      </c>
      <c r="AP72" s="56"/>
      <c r="AQ72" s="55"/>
      <c r="AR72" s="56"/>
      <c r="AS72" s="9">
        <v>0</v>
      </c>
      <c r="AT72" s="14">
        <v>0</v>
      </c>
      <c r="AU72" s="10">
        <v>0</v>
      </c>
      <c r="AV72" s="14">
        <v>0</v>
      </c>
      <c r="AW72" s="56"/>
      <c r="AX72" s="55"/>
      <c r="AY72" s="56"/>
      <c r="AZ72" s="9">
        <v>0</v>
      </c>
      <c r="BA72" s="14">
        <v>0</v>
      </c>
      <c r="BB72" s="10">
        <v>0</v>
      </c>
      <c r="BC72" s="14">
        <v>0</v>
      </c>
      <c r="BD72" s="56"/>
      <c r="BE72" s="55"/>
      <c r="BF72" s="56"/>
      <c r="BG72" s="9">
        <v>0</v>
      </c>
      <c r="BH72" s="14">
        <v>0</v>
      </c>
      <c r="BI72" s="10">
        <v>0</v>
      </c>
      <c r="BJ72" s="14">
        <v>0</v>
      </c>
      <c r="BK72" s="56"/>
      <c r="BL72" s="55"/>
      <c r="BM72" s="56"/>
      <c r="BN72" s="9">
        <v>0</v>
      </c>
      <c r="BO72" s="14">
        <v>0</v>
      </c>
      <c r="BP72" s="10">
        <v>0</v>
      </c>
      <c r="BQ72" s="14">
        <v>0</v>
      </c>
      <c r="BR72" s="56"/>
      <c r="BS72" s="55"/>
      <c r="BT72" s="56"/>
      <c r="BU72" s="9">
        <v>0</v>
      </c>
      <c r="BV72" s="14">
        <v>0</v>
      </c>
      <c r="BW72" s="10">
        <v>0</v>
      </c>
      <c r="BX72" s="14">
        <v>0</v>
      </c>
      <c r="BY72" s="56"/>
      <c r="BZ72" s="55"/>
      <c r="CA72" s="56"/>
      <c r="CB72" s="9">
        <v>0</v>
      </c>
      <c r="CC72" s="14">
        <v>0</v>
      </c>
      <c r="CD72" s="10">
        <v>0</v>
      </c>
      <c r="CE72" s="14">
        <v>0</v>
      </c>
      <c r="CF72" s="56"/>
      <c r="CG72" s="55"/>
      <c r="CH72" s="56"/>
      <c r="CI72" s="9">
        <v>0</v>
      </c>
      <c r="CJ72" s="14">
        <v>0</v>
      </c>
      <c r="CK72" s="10">
        <v>0</v>
      </c>
      <c r="CL72" s="14">
        <v>0</v>
      </c>
      <c r="CM72" s="56"/>
      <c r="CN72" s="55"/>
      <c r="CO72" s="56"/>
      <c r="CP72" s="9">
        <v>0</v>
      </c>
      <c r="CQ72" s="14">
        <v>0</v>
      </c>
      <c r="CR72" s="10">
        <v>0</v>
      </c>
      <c r="CS72" s="14">
        <v>0</v>
      </c>
      <c r="CT72" s="56"/>
      <c r="CU72" s="55"/>
      <c r="CV72" s="56"/>
      <c r="CW72" s="9">
        <v>0</v>
      </c>
      <c r="CX72" s="14">
        <v>0</v>
      </c>
      <c r="CY72" s="10">
        <v>0</v>
      </c>
      <c r="CZ72" s="14">
        <v>0</v>
      </c>
      <c r="DA72" s="56"/>
      <c r="DB72" s="55"/>
      <c r="DC72" s="56"/>
    </row>
    <row r="73" spans="1:107" ht="12.75">
      <c r="A73" s="8"/>
      <c r="B73" s="8"/>
      <c r="C73" s="8"/>
      <c r="D73" s="9"/>
      <c r="E73" s="8"/>
      <c r="F73" s="10"/>
      <c r="G73" s="8"/>
      <c r="H73" s="8"/>
      <c r="I73" s="8"/>
      <c r="J73" s="9"/>
      <c r="K73" s="8"/>
      <c r="L73" s="10"/>
      <c r="M73" s="8"/>
      <c r="N73" s="54"/>
      <c r="O73" s="55"/>
      <c r="P73" s="54"/>
      <c r="Q73" s="9"/>
      <c r="R73" s="8"/>
      <c r="S73" s="10"/>
      <c r="T73" s="8"/>
      <c r="U73" s="54"/>
      <c r="V73" s="55"/>
      <c r="W73" s="54"/>
      <c r="X73" s="9"/>
      <c r="Y73" s="8"/>
      <c r="Z73" s="10"/>
      <c r="AA73" s="8"/>
      <c r="AB73" s="54"/>
      <c r="AC73" s="55"/>
      <c r="AD73" s="54"/>
      <c r="AE73" s="9"/>
      <c r="AF73" s="8"/>
      <c r="AG73" s="10"/>
      <c r="AH73" s="8"/>
      <c r="AI73" s="54"/>
      <c r="AJ73" s="55"/>
      <c r="AK73" s="54"/>
      <c r="AL73" s="9"/>
      <c r="AM73" s="8"/>
      <c r="AN73" s="10"/>
      <c r="AO73" s="8"/>
      <c r="AP73" s="54"/>
      <c r="AQ73" s="55"/>
      <c r="AR73" s="54"/>
      <c r="AS73" s="9"/>
      <c r="AT73" s="8"/>
      <c r="AU73" s="10"/>
      <c r="AV73" s="8"/>
      <c r="AW73" s="54"/>
      <c r="AX73" s="55"/>
      <c r="AY73" s="54"/>
      <c r="AZ73" s="9"/>
      <c r="BA73" s="8"/>
      <c r="BB73" s="10"/>
      <c r="BC73" s="8"/>
      <c r="BD73" s="54"/>
      <c r="BE73" s="55"/>
      <c r="BF73" s="54"/>
      <c r="BG73" s="9"/>
      <c r="BH73" s="8"/>
      <c r="BI73" s="10"/>
      <c r="BJ73" s="8"/>
      <c r="BK73" s="54"/>
      <c r="BL73" s="55"/>
      <c r="BM73" s="54"/>
      <c r="BN73" s="9"/>
      <c r="BO73" s="8"/>
      <c r="BP73" s="10"/>
      <c r="BQ73" s="8"/>
      <c r="BR73" s="54"/>
      <c r="BS73" s="55"/>
      <c r="BT73" s="54"/>
      <c r="BU73" s="9"/>
      <c r="BV73" s="8"/>
      <c r="BW73" s="10"/>
      <c r="BX73" s="8"/>
      <c r="BY73" s="54"/>
      <c r="BZ73" s="55"/>
      <c r="CA73" s="54"/>
      <c r="CB73" s="9"/>
      <c r="CC73" s="8"/>
      <c r="CD73" s="10"/>
      <c r="CE73" s="8"/>
      <c r="CF73" s="54"/>
      <c r="CG73" s="55"/>
      <c r="CH73" s="54"/>
      <c r="CI73" s="9"/>
      <c r="CJ73" s="8"/>
      <c r="CK73" s="10"/>
      <c r="CL73" s="8"/>
      <c r="CM73" s="54"/>
      <c r="CN73" s="55"/>
      <c r="CO73" s="54"/>
      <c r="CP73" s="9"/>
      <c r="CQ73" s="8"/>
      <c r="CR73" s="10"/>
      <c r="CS73" s="8"/>
      <c r="CT73" s="54"/>
      <c r="CU73" s="55"/>
      <c r="CV73" s="54"/>
      <c r="CW73" s="9"/>
      <c r="CX73" s="8"/>
      <c r="CY73" s="10"/>
      <c r="CZ73" s="8"/>
      <c r="DA73" s="54"/>
      <c r="DB73" s="55"/>
      <c r="DC73" s="54"/>
    </row>
    <row r="74" spans="1:107" ht="13.5" thickBot="1">
      <c r="A74" s="8"/>
      <c r="B74" s="12"/>
      <c r="C74" s="12"/>
      <c r="D74" s="21">
        <f>SUM(D59:D73)</f>
        <v>60250388</v>
      </c>
      <c r="E74" s="23"/>
      <c r="F74" s="22">
        <f>SUM(F59:F73)</f>
        <v>76573</v>
      </c>
      <c r="G74" s="12"/>
      <c r="H74" s="8"/>
      <c r="I74" s="8"/>
      <c r="J74" s="21">
        <f>SUM(J59:J72)</f>
        <v>42724189.150000386</v>
      </c>
      <c r="K74" s="23"/>
      <c r="L74" s="22">
        <f>SUM(L59:L73)</f>
        <v>61036</v>
      </c>
      <c r="M74" s="23"/>
      <c r="N74" s="57"/>
      <c r="O74" s="31"/>
      <c r="P74" s="57"/>
      <c r="Q74" s="21">
        <f>SUM(Q59:Q72)</f>
        <v>49501846.23000028</v>
      </c>
      <c r="R74" s="23"/>
      <c r="S74" s="22">
        <f>SUM(S59:S73)</f>
        <v>65615</v>
      </c>
      <c r="T74" s="23"/>
      <c r="U74" s="57"/>
      <c r="V74" s="31"/>
      <c r="W74" s="57"/>
      <c r="X74" s="21">
        <f>SUM(X59:X72)</f>
        <v>44330354.32000014</v>
      </c>
      <c r="Y74" s="23"/>
      <c r="Z74" s="22">
        <f>SUM(Z59:Z73)</f>
        <v>57370</v>
      </c>
      <c r="AA74" s="23"/>
      <c r="AB74" s="57"/>
      <c r="AC74" s="31"/>
      <c r="AD74" s="57"/>
      <c r="AE74" s="21">
        <f>SUM(AE59:AE72)</f>
        <v>37385681.29000006</v>
      </c>
      <c r="AF74" s="23"/>
      <c r="AG74" s="22">
        <f>SUM(AG59:AG73)</f>
        <v>49839</v>
      </c>
      <c r="AH74" s="23"/>
      <c r="AI74" s="57"/>
      <c r="AJ74" s="31"/>
      <c r="AK74" s="57"/>
      <c r="AL74" s="21">
        <f>SUM(AL59:AL72)</f>
        <v>34927963.5600005</v>
      </c>
      <c r="AM74" s="23"/>
      <c r="AN74" s="22">
        <f>SUM(AN59:AN73)</f>
        <v>46995</v>
      </c>
      <c r="AO74" s="23"/>
      <c r="AP74" s="57"/>
      <c r="AQ74" s="31"/>
      <c r="AR74" s="57"/>
      <c r="AS74" s="21">
        <f>SUM(AS59:AS72)</f>
        <v>32008122.540000215</v>
      </c>
      <c r="AT74" s="23"/>
      <c r="AU74" s="22">
        <f>SUM(AU59:AU73)</f>
        <v>42109</v>
      </c>
      <c r="AV74" s="23"/>
      <c r="AW74" s="57"/>
      <c r="AX74" s="31"/>
      <c r="AY74" s="57"/>
      <c r="AZ74" s="21">
        <f>SUM(AZ59:AZ72)</f>
        <v>35073192.55000049</v>
      </c>
      <c r="BA74" s="23"/>
      <c r="BB74" s="22">
        <f>SUM(BB59:BB73)</f>
        <v>42964</v>
      </c>
      <c r="BC74" s="23"/>
      <c r="BD74" s="57"/>
      <c r="BE74" s="31"/>
      <c r="BF74" s="57"/>
      <c r="BG74" s="21">
        <f>SUM(BG59:BG72)</f>
        <v>29599477.06000014</v>
      </c>
      <c r="BH74" s="23"/>
      <c r="BI74" s="22">
        <f>SUM(BI59:BI73)</f>
        <v>37325</v>
      </c>
      <c r="BJ74" s="23"/>
      <c r="BK74" s="57"/>
      <c r="BL74" s="31"/>
      <c r="BM74" s="57"/>
      <c r="BN74" s="21">
        <f>SUM(BN59:BN72)</f>
        <v>26064776.779999923</v>
      </c>
      <c r="BO74" s="23"/>
      <c r="BP74" s="22">
        <f>SUM(BP59:BP73)</f>
        <v>32920</v>
      </c>
      <c r="BQ74" s="23"/>
      <c r="BR74" s="57"/>
      <c r="BS74" s="31"/>
      <c r="BT74" s="57"/>
      <c r="BU74" s="21">
        <f>SUM(BU59:BU72)</f>
        <v>24228213.130000148</v>
      </c>
      <c r="BV74" s="23"/>
      <c r="BW74" s="22">
        <f>SUM(BW59:BW73)</f>
        <v>30629</v>
      </c>
      <c r="BX74" s="23"/>
      <c r="BY74" s="57"/>
      <c r="BZ74" s="31"/>
      <c r="CA74" s="57"/>
      <c r="CB74" s="21">
        <f>SUM(CB59:CB72)</f>
        <v>25416684.01000004</v>
      </c>
      <c r="CC74" s="23"/>
      <c r="CD74" s="22">
        <f>SUM(CD59:CD73)</f>
        <v>30424</v>
      </c>
      <c r="CE74" s="23"/>
      <c r="CF74" s="57"/>
      <c r="CG74" s="31"/>
      <c r="CH74" s="57"/>
      <c r="CI74" s="21">
        <f>SUM(CI59:CI72)</f>
        <v>18747361.949999977</v>
      </c>
      <c r="CJ74" s="23"/>
      <c r="CK74" s="22">
        <f>SUM(CK59:CK73)</f>
        <v>23790</v>
      </c>
      <c r="CL74" s="23"/>
      <c r="CM74" s="57"/>
      <c r="CN74" s="31"/>
      <c r="CO74" s="57"/>
      <c r="CP74" s="21">
        <f>SUM(CP59:CP72)</f>
        <v>14317781.38999997</v>
      </c>
      <c r="CQ74" s="23"/>
      <c r="CR74" s="22">
        <f>SUM(CR59:CR73)</f>
        <v>18643</v>
      </c>
      <c r="CS74" s="23"/>
      <c r="CT74" s="57"/>
      <c r="CU74" s="31"/>
      <c r="CV74" s="57"/>
      <c r="CW74" s="21">
        <f>SUM(CW59:CW72)</f>
        <v>14663728.229999978</v>
      </c>
      <c r="CX74" s="23"/>
      <c r="CY74" s="22">
        <f>SUM(CY59:CY73)</f>
        <v>17600</v>
      </c>
      <c r="CZ74" s="23"/>
      <c r="DA74" s="57"/>
      <c r="DB74" s="31"/>
      <c r="DC74" s="57"/>
    </row>
    <row r="75" spans="1:107" ht="13.5" thickTop="1">
      <c r="A75" s="12"/>
      <c r="B75" s="8"/>
      <c r="C75" s="8"/>
      <c r="D75" s="9"/>
      <c r="E75" s="8"/>
      <c r="F75" s="10"/>
      <c r="G75" s="8"/>
      <c r="H75" s="8"/>
      <c r="I75" s="8"/>
      <c r="J75" s="12"/>
      <c r="K75" s="8"/>
      <c r="L75" s="8"/>
      <c r="M75" s="9"/>
      <c r="N75" s="8"/>
      <c r="O75" s="10"/>
      <c r="P75" s="8"/>
      <c r="Q75" s="12"/>
      <c r="R75" s="8"/>
      <c r="S75" s="8"/>
      <c r="T75" s="9"/>
      <c r="U75" s="8"/>
      <c r="V75" s="10"/>
      <c r="W75" s="8"/>
      <c r="X75" s="12"/>
      <c r="Y75" s="8"/>
      <c r="Z75" s="8"/>
      <c r="AA75" s="9"/>
      <c r="AB75" s="8"/>
      <c r="AC75" s="10"/>
      <c r="AD75" s="8"/>
      <c r="AE75" s="12"/>
      <c r="AF75" s="8"/>
      <c r="AG75" s="8"/>
      <c r="AH75" s="9"/>
      <c r="AI75" s="8"/>
      <c r="AJ75" s="10"/>
      <c r="AK75" s="8"/>
      <c r="AL75" s="12"/>
      <c r="AM75" s="8"/>
      <c r="AN75" s="8"/>
      <c r="AO75" s="9"/>
      <c r="AP75" s="8"/>
      <c r="AQ75" s="10"/>
      <c r="AR75" s="8"/>
      <c r="AS75" s="12"/>
      <c r="AT75" s="8"/>
      <c r="AU75" s="8"/>
      <c r="AV75" s="9"/>
      <c r="AW75" s="8"/>
      <c r="AX75" s="10"/>
      <c r="AY75" s="8"/>
      <c r="AZ75" s="12"/>
      <c r="BA75" s="8"/>
      <c r="BB75" s="8"/>
      <c r="BC75" s="9"/>
      <c r="BD75" s="8"/>
      <c r="BE75" s="10"/>
      <c r="BF75" s="8"/>
      <c r="BG75" s="12"/>
      <c r="BH75" s="8"/>
      <c r="BI75" s="8"/>
      <c r="BJ75" s="9"/>
      <c r="BK75" s="8"/>
      <c r="BL75" s="10"/>
      <c r="BM75" s="8"/>
      <c r="BN75" s="12"/>
      <c r="BO75" s="8"/>
      <c r="BP75" s="8"/>
      <c r="BQ75" s="9"/>
      <c r="BR75" s="8"/>
      <c r="BS75" s="10"/>
      <c r="BT75" s="8"/>
      <c r="BU75" s="12"/>
      <c r="BV75" s="8"/>
      <c r="BW75" s="8"/>
      <c r="BX75" s="9"/>
      <c r="BY75" s="8"/>
      <c r="BZ75" s="10"/>
      <c r="CA75" s="8"/>
      <c r="CB75" s="12"/>
      <c r="CC75" s="8"/>
      <c r="CD75" s="8"/>
      <c r="CE75" s="9"/>
      <c r="CF75" s="8"/>
      <c r="CG75" s="10"/>
      <c r="CH75" s="8"/>
      <c r="CI75" s="12"/>
      <c r="CJ75" s="8"/>
      <c r="CK75" s="8"/>
      <c r="CL75" s="9"/>
      <c r="CM75" s="8"/>
      <c r="CN75" s="10"/>
      <c r="CO75" s="8"/>
      <c r="CP75" s="12"/>
      <c r="CQ75" s="8"/>
      <c r="CR75" s="8"/>
      <c r="CS75" s="9"/>
      <c r="CT75" s="8"/>
      <c r="CU75" s="10"/>
      <c r="CV75" s="8"/>
      <c r="CW75" s="12"/>
      <c r="CX75" s="8"/>
      <c r="CY75" s="8"/>
      <c r="CZ75" s="9"/>
      <c r="DA75" s="8"/>
      <c r="DB75" s="10"/>
      <c r="DC75" s="8"/>
    </row>
    <row r="76" spans="1:107" ht="12.75">
      <c r="A76" s="8"/>
      <c r="B76" s="8"/>
      <c r="C76" s="8"/>
      <c r="D76" s="9"/>
      <c r="E76" s="8"/>
      <c r="F76" s="10"/>
      <c r="G76" s="8"/>
      <c r="H76" s="8"/>
      <c r="I76" s="8"/>
      <c r="J76" s="8"/>
      <c r="K76" s="8"/>
      <c r="L76" s="8"/>
      <c r="M76" s="9"/>
      <c r="N76" s="8"/>
      <c r="O76" s="10"/>
      <c r="P76" s="8"/>
      <c r="Q76" s="8"/>
      <c r="R76" s="8"/>
      <c r="S76" s="8"/>
      <c r="T76" s="9"/>
      <c r="U76" s="8"/>
      <c r="V76" s="10"/>
      <c r="W76" s="8"/>
      <c r="X76" s="8"/>
      <c r="Y76" s="8"/>
      <c r="Z76" s="8"/>
      <c r="AA76" s="9"/>
      <c r="AB76" s="8"/>
      <c r="AC76" s="10"/>
      <c r="AD76" s="8"/>
      <c r="AE76" s="8"/>
      <c r="AF76" s="8"/>
      <c r="AG76" s="8"/>
      <c r="AH76" s="9"/>
      <c r="AI76" s="8"/>
      <c r="AJ76" s="10"/>
      <c r="AK76" s="8"/>
      <c r="AL76" s="8"/>
      <c r="AM76" s="8"/>
      <c r="AN76" s="8"/>
      <c r="AO76" s="9"/>
      <c r="AP76" s="8"/>
      <c r="AQ76" s="10"/>
      <c r="AR76" s="8"/>
      <c r="AS76" s="8"/>
      <c r="AT76" s="8"/>
      <c r="AU76" s="8"/>
      <c r="AV76" s="9"/>
      <c r="AW76" s="8"/>
      <c r="AX76" s="10"/>
      <c r="AY76" s="8"/>
      <c r="AZ76" s="8"/>
      <c r="BA76" s="8"/>
      <c r="BB76" s="8"/>
      <c r="BC76" s="9"/>
      <c r="BD76" s="8"/>
      <c r="BE76" s="10"/>
      <c r="BF76" s="8"/>
      <c r="BG76" s="8"/>
      <c r="BH76" s="8"/>
      <c r="BI76" s="8"/>
      <c r="BJ76" s="9"/>
      <c r="BK76" s="8"/>
      <c r="BL76" s="10"/>
      <c r="BM76" s="8"/>
      <c r="BN76" s="8"/>
      <c r="BO76" s="8"/>
      <c r="BP76" s="8"/>
      <c r="BQ76" s="9"/>
      <c r="BR76" s="8"/>
      <c r="BS76" s="10"/>
      <c r="BT76" s="8"/>
      <c r="BU76" s="8"/>
      <c r="BV76" s="8"/>
      <c r="BW76" s="8"/>
      <c r="BX76" s="9"/>
      <c r="BY76" s="8"/>
      <c r="BZ76" s="10"/>
      <c r="CA76" s="8"/>
      <c r="CB76" s="8"/>
      <c r="CC76" s="8"/>
      <c r="CD76" s="8"/>
      <c r="CE76" s="9"/>
      <c r="CF76" s="8"/>
      <c r="CG76" s="10"/>
      <c r="CH76" s="8"/>
      <c r="CI76" s="8"/>
      <c r="CJ76" s="8"/>
      <c r="CK76" s="8"/>
      <c r="CL76" s="9"/>
      <c r="CM76" s="8"/>
      <c r="CN76" s="10"/>
      <c r="CO76" s="8"/>
      <c r="CP76" s="8"/>
      <c r="CQ76" s="8"/>
      <c r="CR76" s="8"/>
      <c r="CS76" s="9"/>
      <c r="CT76" s="8"/>
      <c r="CU76" s="10"/>
      <c r="CV76" s="8"/>
      <c r="CW76" s="8"/>
      <c r="CX76" s="8"/>
      <c r="CY76" s="8"/>
      <c r="CZ76" s="9"/>
      <c r="DA76" s="8"/>
      <c r="DB76" s="10"/>
      <c r="DC76" s="8"/>
    </row>
    <row r="77" spans="1:107" ht="12.75">
      <c r="A77" s="19" t="s">
        <v>109</v>
      </c>
      <c r="B77" s="8"/>
      <c r="C77" s="8"/>
      <c r="D77" s="9"/>
      <c r="E77" s="8"/>
      <c r="F77" s="10"/>
      <c r="G77" s="8"/>
      <c r="H77" s="8"/>
      <c r="I77" s="8"/>
      <c r="J77" s="19" t="s">
        <v>109</v>
      </c>
      <c r="K77" s="8"/>
      <c r="L77" s="8"/>
      <c r="M77" s="9"/>
      <c r="N77" s="8"/>
      <c r="O77" s="10"/>
      <c r="P77" s="8"/>
      <c r="Q77" s="19" t="s">
        <v>109</v>
      </c>
      <c r="R77" s="8"/>
      <c r="S77" s="8"/>
      <c r="T77" s="9"/>
      <c r="U77" s="8"/>
      <c r="V77" s="10"/>
      <c r="W77" s="8"/>
      <c r="X77" s="19" t="s">
        <v>109</v>
      </c>
      <c r="Y77" s="8"/>
      <c r="Z77" s="8"/>
      <c r="AA77" s="9"/>
      <c r="AB77" s="8"/>
      <c r="AC77" s="10"/>
      <c r="AD77" s="8"/>
      <c r="AE77" s="19" t="s">
        <v>109</v>
      </c>
      <c r="AF77" s="8"/>
      <c r="AG77" s="8"/>
      <c r="AH77" s="9"/>
      <c r="AI77" s="8"/>
      <c r="AJ77" s="10"/>
      <c r="AK77" s="8"/>
      <c r="AL77" s="19" t="s">
        <v>109</v>
      </c>
      <c r="AM77" s="8"/>
      <c r="AN77" s="8"/>
      <c r="AO77" s="9"/>
      <c r="AP77" s="8"/>
      <c r="AQ77" s="10"/>
      <c r="AR77" s="8"/>
      <c r="AS77" s="19" t="s">
        <v>109</v>
      </c>
      <c r="AT77" s="8"/>
      <c r="AU77" s="8"/>
      <c r="AV77" s="9"/>
      <c r="AW77" s="8"/>
      <c r="AX77" s="10"/>
      <c r="AY77" s="8"/>
      <c r="AZ77" s="19" t="s">
        <v>109</v>
      </c>
      <c r="BA77" s="8"/>
      <c r="BB77" s="8"/>
      <c r="BC77" s="9"/>
      <c r="BD77" s="8"/>
      <c r="BE77" s="10"/>
      <c r="BF77" s="8"/>
      <c r="BG77" s="19" t="s">
        <v>109</v>
      </c>
      <c r="BH77" s="8"/>
      <c r="BI77" s="8"/>
      <c r="BJ77" s="9"/>
      <c r="BK77" s="8"/>
      <c r="BL77" s="10"/>
      <c r="BM77" s="8"/>
      <c r="BN77" s="19" t="s">
        <v>109</v>
      </c>
      <c r="BO77" s="8"/>
      <c r="BP77" s="8"/>
      <c r="BQ77" s="9"/>
      <c r="BR77" s="8"/>
      <c r="BS77" s="10"/>
      <c r="BT77" s="8"/>
      <c r="BU77" s="19" t="s">
        <v>109</v>
      </c>
      <c r="BV77" s="8"/>
      <c r="BW77" s="8"/>
      <c r="BX77" s="9"/>
      <c r="BY77" s="8"/>
      <c r="BZ77" s="10"/>
      <c r="CA77" s="8"/>
      <c r="CB77" s="19" t="s">
        <v>109</v>
      </c>
      <c r="CC77" s="8"/>
      <c r="CD77" s="8"/>
      <c r="CE77" s="9"/>
      <c r="CF77" s="8"/>
      <c r="CG77" s="10"/>
      <c r="CH77" s="8"/>
      <c r="CI77" s="19" t="s">
        <v>109</v>
      </c>
      <c r="CJ77" s="8"/>
      <c r="CK77" s="8"/>
      <c r="CL77" s="9"/>
      <c r="CM77" s="8"/>
      <c r="CN77" s="10"/>
      <c r="CO77" s="8"/>
      <c r="CP77" s="19" t="s">
        <v>109</v>
      </c>
      <c r="CQ77" s="8"/>
      <c r="CR77" s="8"/>
      <c r="CS77" s="9"/>
      <c r="CT77" s="8"/>
      <c r="CU77" s="10"/>
      <c r="CV77" s="8"/>
      <c r="CW77" s="19" t="s">
        <v>109</v>
      </c>
      <c r="CX77" s="8"/>
      <c r="CY77" s="8"/>
      <c r="CZ77" s="9"/>
      <c r="DA77" s="8"/>
      <c r="DB77" s="10"/>
      <c r="DC77" s="8"/>
    </row>
    <row r="78" spans="1:107" ht="12.75">
      <c r="A78" s="19"/>
      <c r="B78" s="8"/>
      <c r="C78" s="8"/>
      <c r="D78" s="9"/>
      <c r="E78" s="8"/>
      <c r="F78" s="10"/>
      <c r="G78" s="8"/>
      <c r="H78" s="8"/>
      <c r="I78" s="8"/>
      <c r="J78" s="19"/>
      <c r="K78" s="8"/>
      <c r="L78" s="8"/>
      <c r="M78" s="9"/>
      <c r="N78" s="8"/>
      <c r="O78" s="10"/>
      <c r="P78" s="8"/>
      <c r="Q78" s="19"/>
      <c r="R78" s="8"/>
      <c r="S78" s="8"/>
      <c r="T78" s="9"/>
      <c r="U78" s="8"/>
      <c r="V78" s="10"/>
      <c r="W78" s="8"/>
      <c r="X78" s="19"/>
      <c r="Y78" s="8"/>
      <c r="Z78" s="8"/>
      <c r="AA78" s="9"/>
      <c r="AB78" s="8"/>
      <c r="AC78" s="10"/>
      <c r="AD78" s="8"/>
      <c r="AE78" s="19"/>
      <c r="AF78" s="8"/>
      <c r="AG78" s="8"/>
      <c r="AH78" s="9"/>
      <c r="AI78" s="8"/>
      <c r="AJ78" s="10"/>
      <c r="AK78" s="8"/>
      <c r="AL78" s="19"/>
      <c r="AM78" s="8"/>
      <c r="AN78" s="8"/>
      <c r="AO78" s="9"/>
      <c r="AP78" s="8"/>
      <c r="AQ78" s="10"/>
      <c r="AR78" s="8"/>
      <c r="AS78" s="19"/>
      <c r="AT78" s="8"/>
      <c r="AU78" s="8"/>
      <c r="AV78" s="9"/>
      <c r="AW78" s="8"/>
      <c r="AX78" s="10"/>
      <c r="AY78" s="8"/>
      <c r="AZ78" s="19"/>
      <c r="BA78" s="8"/>
      <c r="BB78" s="8"/>
      <c r="BC78" s="9"/>
      <c r="BD78" s="8"/>
      <c r="BE78" s="10"/>
      <c r="BF78" s="8"/>
      <c r="BG78" s="19"/>
      <c r="BH78" s="8"/>
      <c r="BI78" s="8"/>
      <c r="BJ78" s="9"/>
      <c r="BK78" s="8"/>
      <c r="BL78" s="10"/>
      <c r="BM78" s="8"/>
      <c r="BN78" s="19"/>
      <c r="BO78" s="8"/>
      <c r="BP78" s="8"/>
      <c r="BQ78" s="9"/>
      <c r="BR78" s="8"/>
      <c r="BS78" s="10"/>
      <c r="BT78" s="8"/>
      <c r="BU78" s="19"/>
      <c r="BV78" s="8"/>
      <c r="BW78" s="8"/>
      <c r="BX78" s="9"/>
      <c r="BY78" s="8"/>
      <c r="BZ78" s="10"/>
      <c r="CA78" s="8"/>
      <c r="CB78" s="19"/>
      <c r="CC78" s="8"/>
      <c r="CD78" s="8"/>
      <c r="CE78" s="9"/>
      <c r="CF78" s="8"/>
      <c r="CG78" s="10"/>
      <c r="CH78" s="8"/>
      <c r="CI78" s="19"/>
      <c r="CJ78" s="8"/>
      <c r="CK78" s="8"/>
      <c r="CL78" s="9"/>
      <c r="CM78" s="8"/>
      <c r="CN78" s="10"/>
      <c r="CO78" s="8"/>
      <c r="CP78" s="19"/>
      <c r="CQ78" s="8"/>
      <c r="CR78" s="8"/>
      <c r="CS78" s="9"/>
      <c r="CT78" s="8"/>
      <c r="CU78" s="10"/>
      <c r="CV78" s="8"/>
      <c r="CW78" s="19"/>
      <c r="CX78" s="8"/>
      <c r="CY78" s="8"/>
      <c r="CZ78" s="9"/>
      <c r="DA78" s="8"/>
      <c r="DB78" s="10"/>
      <c r="DC78" s="8"/>
    </row>
    <row r="79" spans="1:107" s="29" customFormat="1" ht="12.75">
      <c r="A79" s="25"/>
      <c r="B79" s="26"/>
      <c r="C79" s="26"/>
      <c r="D79" s="27" t="s">
        <v>99</v>
      </c>
      <c r="E79" s="26" t="s">
        <v>100</v>
      </c>
      <c r="F79" s="28" t="s">
        <v>101</v>
      </c>
      <c r="G79" s="26" t="s">
        <v>100</v>
      </c>
      <c r="H79" s="25"/>
      <c r="I79" s="25"/>
      <c r="J79" s="27" t="s">
        <v>99</v>
      </c>
      <c r="K79" s="26" t="s">
        <v>100</v>
      </c>
      <c r="L79" s="28" t="s">
        <v>101</v>
      </c>
      <c r="M79" s="26" t="s">
        <v>100</v>
      </c>
      <c r="N79" s="64"/>
      <c r="O79" s="65"/>
      <c r="P79" s="64"/>
      <c r="Q79" s="27" t="s">
        <v>99</v>
      </c>
      <c r="R79" s="26" t="s">
        <v>100</v>
      </c>
      <c r="S79" s="28" t="s">
        <v>101</v>
      </c>
      <c r="T79" s="26" t="s">
        <v>100</v>
      </c>
      <c r="U79" s="64"/>
      <c r="V79" s="65"/>
      <c r="W79" s="64"/>
      <c r="X79" s="27" t="s">
        <v>99</v>
      </c>
      <c r="Y79" s="26" t="s">
        <v>100</v>
      </c>
      <c r="Z79" s="28" t="s">
        <v>101</v>
      </c>
      <c r="AA79" s="26" t="s">
        <v>100</v>
      </c>
      <c r="AB79" s="64"/>
      <c r="AC79" s="65"/>
      <c r="AD79" s="64"/>
      <c r="AE79" s="27" t="s">
        <v>99</v>
      </c>
      <c r="AF79" s="26" t="s">
        <v>100</v>
      </c>
      <c r="AG79" s="28" t="s">
        <v>101</v>
      </c>
      <c r="AH79" s="26" t="s">
        <v>100</v>
      </c>
      <c r="AI79" s="64"/>
      <c r="AJ79" s="65"/>
      <c r="AK79" s="64"/>
      <c r="AL79" s="27" t="s">
        <v>99</v>
      </c>
      <c r="AM79" s="26" t="s">
        <v>100</v>
      </c>
      <c r="AN79" s="28" t="s">
        <v>101</v>
      </c>
      <c r="AO79" s="26" t="s">
        <v>100</v>
      </c>
      <c r="AP79" s="64"/>
      <c r="AQ79" s="65"/>
      <c r="AR79" s="64"/>
      <c r="AS79" s="27" t="s">
        <v>99</v>
      </c>
      <c r="AT79" s="26" t="s">
        <v>100</v>
      </c>
      <c r="AU79" s="28" t="s">
        <v>101</v>
      </c>
      <c r="AV79" s="26" t="s">
        <v>100</v>
      </c>
      <c r="AW79" s="64"/>
      <c r="AX79" s="65"/>
      <c r="AY79" s="64"/>
      <c r="AZ79" s="89" t="s">
        <v>99</v>
      </c>
      <c r="BA79" s="44" t="s">
        <v>100</v>
      </c>
      <c r="BB79" s="88" t="s">
        <v>101</v>
      </c>
      <c r="BC79" s="44" t="s">
        <v>100</v>
      </c>
      <c r="BD79" s="64"/>
      <c r="BE79" s="65"/>
      <c r="BF79" s="64"/>
      <c r="BG79" s="89" t="s">
        <v>99</v>
      </c>
      <c r="BH79" s="44" t="s">
        <v>100</v>
      </c>
      <c r="BI79" s="88" t="s">
        <v>101</v>
      </c>
      <c r="BJ79" s="44" t="s">
        <v>100</v>
      </c>
      <c r="BK79" s="64"/>
      <c r="BL79" s="65"/>
      <c r="BM79" s="64"/>
      <c r="BN79" s="89" t="s">
        <v>99</v>
      </c>
      <c r="BO79" s="44" t="s">
        <v>100</v>
      </c>
      <c r="BP79" s="88" t="s">
        <v>101</v>
      </c>
      <c r="BQ79" s="44" t="s">
        <v>100</v>
      </c>
      <c r="BR79" s="64"/>
      <c r="BS79" s="65"/>
      <c r="BT79" s="64"/>
      <c r="BU79" s="89" t="s">
        <v>99</v>
      </c>
      <c r="BV79" s="44" t="s">
        <v>100</v>
      </c>
      <c r="BW79" s="88" t="s">
        <v>101</v>
      </c>
      <c r="BX79" s="44" t="s">
        <v>100</v>
      </c>
      <c r="BY79" s="64"/>
      <c r="BZ79" s="65"/>
      <c r="CA79" s="64"/>
      <c r="CB79" s="89" t="s">
        <v>99</v>
      </c>
      <c r="CC79" s="44" t="s">
        <v>100</v>
      </c>
      <c r="CD79" s="88" t="s">
        <v>101</v>
      </c>
      <c r="CE79" s="44" t="s">
        <v>100</v>
      </c>
      <c r="CF79" s="64"/>
      <c r="CG79" s="65"/>
      <c r="CH79" s="64"/>
      <c r="CI79" s="89" t="s">
        <v>99</v>
      </c>
      <c r="CJ79" s="44" t="s">
        <v>100</v>
      </c>
      <c r="CK79" s="88" t="s">
        <v>101</v>
      </c>
      <c r="CL79" s="44" t="s">
        <v>100</v>
      </c>
      <c r="CM79" s="64"/>
      <c r="CN79" s="65"/>
      <c r="CO79" s="64"/>
      <c r="CP79" s="89" t="s">
        <v>99</v>
      </c>
      <c r="CQ79" s="44" t="s">
        <v>100</v>
      </c>
      <c r="CR79" s="88" t="s">
        <v>101</v>
      </c>
      <c r="CS79" s="44" t="s">
        <v>100</v>
      </c>
      <c r="CT79" s="64"/>
      <c r="CU79" s="65"/>
      <c r="CV79" s="64"/>
      <c r="CW79" s="89" t="s">
        <v>99</v>
      </c>
      <c r="CX79" s="44" t="s">
        <v>100</v>
      </c>
      <c r="CY79" s="88" t="s">
        <v>101</v>
      </c>
      <c r="CZ79" s="44" t="s">
        <v>100</v>
      </c>
      <c r="DA79" s="64"/>
      <c r="DB79" s="65"/>
      <c r="DC79" s="64"/>
    </row>
    <row r="80" spans="1:107" ht="12.75">
      <c r="A80" s="12"/>
      <c r="B80" s="8"/>
      <c r="C80" s="8"/>
      <c r="D80" s="9"/>
      <c r="E80" s="8"/>
      <c r="F80" s="10"/>
      <c r="G80" s="8"/>
      <c r="H80" s="8"/>
      <c r="I80" s="8"/>
      <c r="J80" s="9"/>
      <c r="K80" s="8"/>
      <c r="L80" s="10"/>
      <c r="M80" s="8"/>
      <c r="N80" s="54"/>
      <c r="O80" s="55"/>
      <c r="P80" s="54"/>
      <c r="Q80" s="9"/>
      <c r="R80" s="8"/>
      <c r="S80" s="10"/>
      <c r="T80" s="8"/>
      <c r="U80" s="54"/>
      <c r="V80" s="55"/>
      <c r="W80" s="54"/>
      <c r="X80" s="9"/>
      <c r="Y80" s="8"/>
      <c r="Z80" s="10"/>
      <c r="AA80" s="8"/>
      <c r="AB80" s="54"/>
      <c r="AC80" s="55"/>
      <c r="AD80" s="54"/>
      <c r="AE80" s="9"/>
      <c r="AF80" s="8"/>
      <c r="AG80" s="10"/>
      <c r="AH80" s="8"/>
      <c r="AI80" s="54"/>
      <c r="AJ80" s="55"/>
      <c r="AK80" s="54"/>
      <c r="AL80" s="9"/>
      <c r="AM80" s="8"/>
      <c r="AN80" s="10"/>
      <c r="AO80" s="8"/>
      <c r="AP80" s="54"/>
      <c r="AQ80" s="55"/>
      <c r="AR80" s="54"/>
      <c r="AS80" s="9"/>
      <c r="AT80" s="8"/>
      <c r="AU80" s="10"/>
      <c r="AV80" s="8"/>
      <c r="AW80" s="54"/>
      <c r="AX80" s="55"/>
      <c r="AY80" s="54"/>
      <c r="AZ80" s="9"/>
      <c r="BA80" s="8"/>
      <c r="BB80" s="10"/>
      <c r="BC80" s="8"/>
      <c r="BD80" s="54"/>
      <c r="BE80" s="55"/>
      <c r="BF80" s="54"/>
      <c r="BG80" s="9"/>
      <c r="BH80" s="8"/>
      <c r="BI80" s="10"/>
      <c r="BJ80" s="8"/>
      <c r="BK80" s="54"/>
      <c r="BL80" s="55"/>
      <c r="BM80" s="54"/>
      <c r="BN80" s="9"/>
      <c r="BO80" s="8"/>
      <c r="BP80" s="10"/>
      <c r="BQ80" s="8"/>
      <c r="BR80" s="54"/>
      <c r="BS80" s="55"/>
      <c r="BT80" s="54"/>
      <c r="BU80" s="9"/>
      <c r="BV80" s="8"/>
      <c r="BW80" s="10"/>
      <c r="BX80" s="8"/>
      <c r="BY80" s="54"/>
      <c r="BZ80" s="55"/>
      <c r="CA80" s="54"/>
      <c r="CB80" s="9"/>
      <c r="CC80" s="8"/>
      <c r="CD80" s="10"/>
      <c r="CE80" s="8"/>
      <c r="CF80" s="54"/>
      <c r="CG80" s="55"/>
      <c r="CH80" s="54"/>
      <c r="CI80" s="9"/>
      <c r="CJ80" s="8"/>
      <c r="CK80" s="10"/>
      <c r="CL80" s="8"/>
      <c r="CM80" s="54"/>
      <c r="CN80" s="55"/>
      <c r="CO80" s="54"/>
      <c r="CP80" s="9"/>
      <c r="CQ80" s="8"/>
      <c r="CR80" s="10"/>
      <c r="CS80" s="8"/>
      <c r="CT80" s="54"/>
      <c r="CU80" s="55"/>
      <c r="CV80" s="54"/>
      <c r="CW80" s="9"/>
      <c r="CX80" s="8"/>
      <c r="CY80" s="10"/>
      <c r="CZ80" s="8"/>
      <c r="DA80" s="54"/>
      <c r="DB80" s="55"/>
      <c r="DC80" s="54"/>
    </row>
    <row r="81" spans="1:107" ht="12.75">
      <c r="A81" s="8" t="s">
        <v>25</v>
      </c>
      <c r="B81" s="8"/>
      <c r="C81" s="8"/>
      <c r="D81" s="9">
        <f>9020272.73+2079662.67+10334902.55</f>
        <v>21434837.950000003</v>
      </c>
      <c r="E81" s="14">
        <f>+D81/$D$94</f>
        <v>0.3557626541757707</v>
      </c>
      <c r="F81" s="10">
        <f>17611+1787+9370</f>
        <v>28768</v>
      </c>
      <c r="G81" s="14">
        <f>+F81/$F$94</f>
        <v>0.3756937824037193</v>
      </c>
      <c r="H81" s="8"/>
      <c r="I81" s="8"/>
      <c r="J81" s="9">
        <v>12457074.63999989</v>
      </c>
      <c r="K81" s="14">
        <f>+J81/J94</f>
        <v>0.2915695976409164</v>
      </c>
      <c r="L81" s="10">
        <v>13263</v>
      </c>
      <c r="M81" s="14">
        <f>+L81/L94</f>
        <v>0.21729798807261289</v>
      </c>
      <c r="N81" s="56"/>
      <c r="O81" s="55"/>
      <c r="P81" s="56"/>
      <c r="Q81" s="9">
        <v>11871729.079999916</v>
      </c>
      <c r="R81" s="14">
        <v>0.23982396585453383</v>
      </c>
      <c r="S81" s="10">
        <v>14969</v>
      </c>
      <c r="T81" s="14">
        <f>+S81/$S$94</f>
        <v>0.22813381086641774</v>
      </c>
      <c r="U81" s="56"/>
      <c r="V81" s="55"/>
      <c r="W81" s="56"/>
      <c r="X81" s="9">
        <v>10840721.47999999</v>
      </c>
      <c r="Y81" s="14">
        <v>0.24454398450655163</v>
      </c>
      <c r="Z81" s="10">
        <v>13299</v>
      </c>
      <c r="AA81" s="14">
        <v>0.23181105107198885</v>
      </c>
      <c r="AB81" s="56"/>
      <c r="AC81" s="55"/>
      <c r="AD81" s="56"/>
      <c r="AE81" s="9">
        <v>8951930.910000013</v>
      </c>
      <c r="AF81" s="14">
        <v>0.23944811492293175</v>
      </c>
      <c r="AG81" s="10">
        <v>11763</v>
      </c>
      <c r="AH81" s="14">
        <v>0.23601998434960572</v>
      </c>
      <c r="AI81" s="56"/>
      <c r="AJ81" s="55"/>
      <c r="AK81" s="56"/>
      <c r="AL81" s="9">
        <v>8813507.37</v>
      </c>
      <c r="AM81" s="14">
        <v>0.2523338457697362</v>
      </c>
      <c r="AN81" s="10">
        <v>12124</v>
      </c>
      <c r="AO81" s="14">
        <v>0.2579848920097883</v>
      </c>
      <c r="AP81" s="56"/>
      <c r="AQ81" s="55"/>
      <c r="AR81" s="56"/>
      <c r="AS81" s="9">
        <v>8301076.879999981</v>
      </c>
      <c r="AT81" s="14">
        <v>0.2593428236731563</v>
      </c>
      <c r="AU81" s="10">
        <v>11177</v>
      </c>
      <c r="AV81" s="14">
        <v>0.26543019307036503</v>
      </c>
      <c r="AW81" s="56"/>
      <c r="AX81" s="55"/>
      <c r="AY81" s="56"/>
      <c r="AZ81" s="9">
        <v>11132899.589999974</v>
      </c>
      <c r="BA81" s="14">
        <v>0.317419053715428</v>
      </c>
      <c r="BB81" s="10">
        <v>13185</v>
      </c>
      <c r="BC81" s="14">
        <v>0.3068848338143562</v>
      </c>
      <c r="BD81" s="56"/>
      <c r="BE81" s="55"/>
      <c r="BF81" s="56"/>
      <c r="BG81" s="9">
        <v>8976077.919999968</v>
      </c>
      <c r="BH81" s="14">
        <v>0.3032512331824277</v>
      </c>
      <c r="BI81" s="10">
        <v>11427</v>
      </c>
      <c r="BJ81" s="14">
        <v>0.30614869390488947</v>
      </c>
      <c r="BK81" s="56"/>
      <c r="BL81" s="55"/>
      <c r="BM81" s="56"/>
      <c r="BN81" s="9">
        <v>7829780.1100000115</v>
      </c>
      <c r="BO81" s="14">
        <v>0.3003969754311478</v>
      </c>
      <c r="BP81" s="10">
        <v>10086</v>
      </c>
      <c r="BQ81" s="14">
        <v>0.30637910085054676</v>
      </c>
      <c r="BR81" s="56"/>
      <c r="BS81" s="55"/>
      <c r="BT81" s="56"/>
      <c r="BU81" s="9">
        <v>7451257.909999998</v>
      </c>
      <c r="BV81" s="14">
        <v>0.3075446740549616</v>
      </c>
      <c r="BW81" s="10">
        <v>9809</v>
      </c>
      <c r="BX81" s="14">
        <v>0.32025204871200497</v>
      </c>
      <c r="BY81" s="56"/>
      <c r="BZ81" s="55"/>
      <c r="CA81" s="56"/>
      <c r="CB81" s="9">
        <v>8563858.299999988</v>
      </c>
      <c r="CC81" s="14">
        <v>0.33693845729956784</v>
      </c>
      <c r="CD81" s="10">
        <v>10441</v>
      </c>
      <c r="CE81" s="14">
        <v>0.3431830134104654</v>
      </c>
      <c r="CF81" s="56"/>
      <c r="CG81" s="55"/>
      <c r="CH81" s="56"/>
      <c r="CI81" s="9">
        <v>4962434.05</v>
      </c>
      <c r="CJ81" s="14">
        <v>0.26470039161963255</v>
      </c>
      <c r="CK81" s="10">
        <v>7030</v>
      </c>
      <c r="CL81" s="14">
        <v>0.29550231189575454</v>
      </c>
      <c r="CM81" s="56"/>
      <c r="CN81" s="55"/>
      <c r="CO81" s="56"/>
      <c r="CP81" s="9">
        <v>2879800.23</v>
      </c>
      <c r="CQ81" s="14">
        <v>0.20113452996365383</v>
      </c>
      <c r="CR81" s="10">
        <v>4418</v>
      </c>
      <c r="CS81" s="14">
        <v>0.23697902698063616</v>
      </c>
      <c r="CT81" s="56"/>
      <c r="CU81" s="55"/>
      <c r="CV81" s="56"/>
      <c r="CW81" s="9">
        <v>4134157.5299999802</v>
      </c>
      <c r="CX81" s="14">
        <v>0.2819308613168414</v>
      </c>
      <c r="CY81" s="10">
        <v>4887</v>
      </c>
      <c r="CZ81" s="14">
        <v>0.2776704545454545</v>
      </c>
      <c r="DA81" s="56"/>
      <c r="DB81" s="55"/>
      <c r="DC81" s="56"/>
    </row>
    <row r="82" spans="1:107" ht="12.75">
      <c r="A82" s="8" t="s">
        <v>66</v>
      </c>
      <c r="B82" s="8"/>
      <c r="C82" s="8"/>
      <c r="D82" s="9">
        <v>7537029.61</v>
      </c>
      <c r="E82" s="14">
        <f aca="true" t="shared" si="15" ref="E82:E92">+D82/$D$94</f>
        <v>0.12509512154510938</v>
      </c>
      <c r="F82" s="10">
        <v>8674</v>
      </c>
      <c r="G82" s="14">
        <f aca="true" t="shared" si="16" ref="G82:G92">+F82/$F$94</f>
        <v>0.11327752602092121</v>
      </c>
      <c r="H82" s="8"/>
      <c r="I82" s="8"/>
      <c r="J82" s="9">
        <v>5334488.390000043</v>
      </c>
      <c r="K82" s="14">
        <f>+J82/$J$94</f>
        <v>0.12485873918569265</v>
      </c>
      <c r="L82" s="10">
        <v>8686</v>
      </c>
      <c r="M82" s="14">
        <f>+L82/$L$94</f>
        <v>0.1423094567140704</v>
      </c>
      <c r="N82" s="56"/>
      <c r="O82" s="55"/>
      <c r="P82" s="56"/>
      <c r="Q82" s="9">
        <v>5244860.110000021</v>
      </c>
      <c r="R82" s="14">
        <v>0.10595281811572982</v>
      </c>
      <c r="S82" s="10">
        <v>6512</v>
      </c>
      <c r="T82" s="14">
        <f aca="true" t="shared" si="17" ref="T82:T92">+S82/$S$94</f>
        <v>0.09924559932942163</v>
      </c>
      <c r="U82" s="56"/>
      <c r="V82" s="55"/>
      <c r="W82" s="56"/>
      <c r="X82" s="9">
        <v>4580632.959999994</v>
      </c>
      <c r="Y82" s="14">
        <v>0.10332949127666727</v>
      </c>
      <c r="Z82" s="10">
        <v>5353</v>
      </c>
      <c r="AA82" s="14">
        <v>0.09330660624019523</v>
      </c>
      <c r="AB82" s="56"/>
      <c r="AC82" s="55"/>
      <c r="AD82" s="56"/>
      <c r="AE82" s="9">
        <v>4096155.599999991</v>
      </c>
      <c r="AF82" s="14">
        <v>0.10956482424985636</v>
      </c>
      <c r="AG82" s="10">
        <v>4717</v>
      </c>
      <c r="AH82" s="14">
        <v>0.0946447561146893</v>
      </c>
      <c r="AI82" s="56"/>
      <c r="AJ82" s="55"/>
      <c r="AK82" s="56"/>
      <c r="AL82" s="9">
        <v>3979363.23</v>
      </c>
      <c r="AM82" s="14">
        <v>0.11393058238749493</v>
      </c>
      <c r="AN82" s="10">
        <v>4710</v>
      </c>
      <c r="AO82" s="14">
        <v>0.1002234280242579</v>
      </c>
      <c r="AP82" s="56"/>
      <c r="AQ82" s="55"/>
      <c r="AR82" s="56"/>
      <c r="AS82" s="9">
        <v>3703276.6799999927</v>
      </c>
      <c r="AT82" s="14">
        <v>0.1156980286916885</v>
      </c>
      <c r="AU82" s="10">
        <v>4499</v>
      </c>
      <c r="AV82" s="14">
        <v>0.10684176779310836</v>
      </c>
      <c r="AW82" s="56"/>
      <c r="AX82" s="55"/>
      <c r="AY82" s="56"/>
      <c r="AZ82" s="9">
        <v>3804284.73</v>
      </c>
      <c r="BA82" s="14">
        <v>0.10846702148875256</v>
      </c>
      <c r="BB82" s="10">
        <v>4541</v>
      </c>
      <c r="BC82" s="14">
        <v>0.1056931384414859</v>
      </c>
      <c r="BD82" s="56"/>
      <c r="BE82" s="55"/>
      <c r="BF82" s="56"/>
      <c r="BG82" s="9">
        <v>3279779.3900000066</v>
      </c>
      <c r="BH82" s="14">
        <v>0.11080531535579806</v>
      </c>
      <c r="BI82" s="10">
        <v>4060</v>
      </c>
      <c r="BJ82" s="14">
        <v>0.10877427997320831</v>
      </c>
      <c r="BK82" s="56"/>
      <c r="BL82" s="55"/>
      <c r="BM82" s="56"/>
      <c r="BN82" s="9">
        <v>2794145.23</v>
      </c>
      <c r="BO82" s="14">
        <v>0.10720004447319875</v>
      </c>
      <c r="BP82" s="10">
        <v>3607</v>
      </c>
      <c r="BQ82" s="14">
        <v>0.10956865127582018</v>
      </c>
      <c r="BR82" s="56"/>
      <c r="BS82" s="55"/>
      <c r="BT82" s="56"/>
      <c r="BU82" s="9">
        <v>2463686.22</v>
      </c>
      <c r="BV82" s="14">
        <v>0.10168666615159501</v>
      </c>
      <c r="BW82" s="10">
        <v>3213</v>
      </c>
      <c r="BX82" s="14">
        <v>0.10490058441346437</v>
      </c>
      <c r="BY82" s="56"/>
      <c r="BZ82" s="55"/>
      <c r="CA82" s="56"/>
      <c r="CB82" s="9">
        <v>2425054.3199999947</v>
      </c>
      <c r="CC82" s="14">
        <v>0.0954119081405693</v>
      </c>
      <c r="CD82" s="10">
        <v>2882</v>
      </c>
      <c r="CE82" s="14">
        <v>0.09472784643702341</v>
      </c>
      <c r="CF82" s="56"/>
      <c r="CG82" s="55"/>
      <c r="CH82" s="56"/>
      <c r="CI82" s="9">
        <v>1960711.67</v>
      </c>
      <c r="CJ82" s="14">
        <v>0.10458600389907126</v>
      </c>
      <c r="CK82" s="10">
        <v>2433</v>
      </c>
      <c r="CL82" s="14">
        <v>0.10226986128625473</v>
      </c>
      <c r="CM82" s="56"/>
      <c r="CN82" s="55"/>
      <c r="CO82" s="56"/>
      <c r="CP82" s="9">
        <v>1590343.41</v>
      </c>
      <c r="CQ82" s="14">
        <v>0.11107470959926431</v>
      </c>
      <c r="CR82" s="10">
        <v>2071</v>
      </c>
      <c r="CS82" s="14">
        <v>0.11108727136190527</v>
      </c>
      <c r="CT82" s="56"/>
      <c r="CU82" s="55"/>
      <c r="CV82" s="56"/>
      <c r="CW82" s="9">
        <v>1469069.71</v>
      </c>
      <c r="CX82" s="14">
        <v>0.10018391550618644</v>
      </c>
      <c r="CY82" s="10">
        <v>1839</v>
      </c>
      <c r="CZ82" s="14">
        <v>0.10448863636363637</v>
      </c>
      <c r="DA82" s="56"/>
      <c r="DB82" s="55"/>
      <c r="DC82" s="56"/>
    </row>
    <row r="83" spans="1:107" ht="12.75">
      <c r="A83" s="8" t="s">
        <v>67</v>
      </c>
      <c r="B83" s="8"/>
      <c r="C83" s="8"/>
      <c r="D83" s="9">
        <v>3975645.79</v>
      </c>
      <c r="E83" s="14">
        <f t="shared" si="15"/>
        <v>0.06598539730565718</v>
      </c>
      <c r="F83" s="10">
        <v>4138</v>
      </c>
      <c r="G83" s="14">
        <f t="shared" si="16"/>
        <v>0.05403993574758727</v>
      </c>
      <c r="H83" s="8"/>
      <c r="I83" s="8"/>
      <c r="J83" s="9">
        <v>3198270.99</v>
      </c>
      <c r="K83" s="14">
        <f aca="true" t="shared" si="18" ref="K83:K92">+J83/$J$94</f>
        <v>0.0748585532839774</v>
      </c>
      <c r="L83" s="10">
        <v>4208</v>
      </c>
      <c r="M83" s="14">
        <f aca="true" t="shared" si="19" ref="M83:M92">+L83/$L$94</f>
        <v>0.06894291893308867</v>
      </c>
      <c r="N83" s="56"/>
      <c r="O83" s="55"/>
      <c r="P83" s="56"/>
      <c r="Q83" s="9">
        <v>3575414.06</v>
      </c>
      <c r="R83" s="14">
        <v>0.07222789314539052</v>
      </c>
      <c r="S83" s="10">
        <v>4533</v>
      </c>
      <c r="T83" s="14">
        <f t="shared" si="17"/>
        <v>0.06908481292387411</v>
      </c>
      <c r="U83" s="56"/>
      <c r="V83" s="55"/>
      <c r="W83" s="56"/>
      <c r="X83" s="9">
        <v>3189811.54</v>
      </c>
      <c r="Y83" s="14">
        <v>0.07195547134530567</v>
      </c>
      <c r="Z83" s="10">
        <v>4041</v>
      </c>
      <c r="AA83" s="14">
        <v>0.07043751089419557</v>
      </c>
      <c r="AB83" s="56"/>
      <c r="AC83" s="55"/>
      <c r="AD83" s="56"/>
      <c r="AE83" s="9">
        <v>2684732.55</v>
      </c>
      <c r="AF83" s="14">
        <v>0.07181178615348965</v>
      </c>
      <c r="AG83" s="10">
        <v>3462</v>
      </c>
      <c r="AH83" s="14">
        <v>0.06946367302714741</v>
      </c>
      <c r="AI83" s="56"/>
      <c r="AJ83" s="55"/>
      <c r="AK83" s="56"/>
      <c r="AL83" s="9">
        <v>2313766.65</v>
      </c>
      <c r="AM83" s="14">
        <v>0.06624396083170904</v>
      </c>
      <c r="AN83" s="10">
        <v>3100</v>
      </c>
      <c r="AO83" s="14">
        <v>0.06596446430471327</v>
      </c>
      <c r="AP83" s="56"/>
      <c r="AQ83" s="55"/>
      <c r="AR83" s="56"/>
      <c r="AS83" s="9">
        <v>1937664.3500000054</v>
      </c>
      <c r="AT83" s="14">
        <v>0.06053664495874584</v>
      </c>
      <c r="AU83" s="10">
        <v>2680</v>
      </c>
      <c r="AV83" s="14">
        <v>0.06364435156379872</v>
      </c>
      <c r="AW83" s="56"/>
      <c r="AX83" s="55"/>
      <c r="AY83" s="56"/>
      <c r="AZ83" s="9">
        <v>1847096.92</v>
      </c>
      <c r="BA83" s="14">
        <v>0.05266406579232275</v>
      </c>
      <c r="BB83" s="10">
        <v>2423</v>
      </c>
      <c r="BC83" s="14">
        <v>0.056396052509077366</v>
      </c>
      <c r="BD83" s="56"/>
      <c r="BE83" s="55"/>
      <c r="BF83" s="56"/>
      <c r="BG83" s="9">
        <v>1547365.86</v>
      </c>
      <c r="BH83" s="14">
        <v>0.05227679721717361</v>
      </c>
      <c r="BI83" s="10">
        <v>2058</v>
      </c>
      <c r="BJ83" s="14">
        <v>0.05513730743469524</v>
      </c>
      <c r="BK83" s="56"/>
      <c r="BL83" s="55"/>
      <c r="BM83" s="56"/>
      <c r="BN83" s="9">
        <v>1345959.35</v>
      </c>
      <c r="BO83" s="14">
        <v>0.05163901311569182</v>
      </c>
      <c r="BP83" s="10">
        <v>1802</v>
      </c>
      <c r="BQ83" s="14">
        <v>0.05473876063183475</v>
      </c>
      <c r="BR83" s="56"/>
      <c r="BS83" s="55"/>
      <c r="BT83" s="56"/>
      <c r="BU83" s="9">
        <v>1331622.75</v>
      </c>
      <c r="BV83" s="14">
        <v>0.054961657422071625</v>
      </c>
      <c r="BW83" s="10">
        <v>1716</v>
      </c>
      <c r="BX83" s="14">
        <v>0.05602533546638806</v>
      </c>
      <c r="BY83" s="56"/>
      <c r="BZ83" s="55"/>
      <c r="CA83" s="56"/>
      <c r="CB83" s="9">
        <v>1396956.34</v>
      </c>
      <c r="CC83" s="14">
        <v>0.054962179151709076</v>
      </c>
      <c r="CD83" s="10">
        <v>1657</v>
      </c>
      <c r="CE83" s="14">
        <v>0.05446358138311859</v>
      </c>
      <c r="CF83" s="56"/>
      <c r="CG83" s="55"/>
      <c r="CH83" s="56"/>
      <c r="CI83" s="9">
        <v>1120496.33</v>
      </c>
      <c r="CJ83" s="14">
        <v>0.05976821341522127</v>
      </c>
      <c r="CK83" s="10">
        <v>1442</v>
      </c>
      <c r="CL83" s="14">
        <v>0.060613703236654055</v>
      </c>
      <c r="CM83" s="56"/>
      <c r="CN83" s="55"/>
      <c r="CO83" s="56"/>
      <c r="CP83" s="9">
        <v>902769.700000001</v>
      </c>
      <c r="CQ83" s="14">
        <v>0.06305234557014006</v>
      </c>
      <c r="CR83" s="10">
        <v>1223</v>
      </c>
      <c r="CS83" s="14">
        <v>0.06560102987716569</v>
      </c>
      <c r="CT83" s="56"/>
      <c r="CU83" s="55"/>
      <c r="CV83" s="56"/>
      <c r="CW83" s="9">
        <v>776911.71</v>
      </c>
      <c r="CX83" s="14">
        <v>0.05298186776337986</v>
      </c>
      <c r="CY83" s="10">
        <v>1073</v>
      </c>
      <c r="CZ83" s="14">
        <v>0.06096590909090909</v>
      </c>
      <c r="DA83" s="56"/>
      <c r="DB83" s="55"/>
      <c r="DC83" s="56"/>
    </row>
    <row r="84" spans="1:107" ht="12.75">
      <c r="A84" s="8" t="s">
        <v>68</v>
      </c>
      <c r="B84" s="8"/>
      <c r="C84" s="8"/>
      <c r="D84" s="9">
        <v>4513940.86</v>
      </c>
      <c r="E84" s="14">
        <f t="shared" si="15"/>
        <v>0.07491969777854378</v>
      </c>
      <c r="F84" s="10">
        <v>4640</v>
      </c>
      <c r="G84" s="14">
        <f t="shared" si="16"/>
        <v>0.0605957713554386</v>
      </c>
      <c r="H84" s="8"/>
      <c r="I84" s="8"/>
      <c r="J84" s="9">
        <v>3429986.570000013</v>
      </c>
      <c r="K84" s="14">
        <f t="shared" si="18"/>
        <v>0.08028207528895881</v>
      </c>
      <c r="L84" s="10">
        <v>4606</v>
      </c>
      <c r="M84" s="14">
        <f t="shared" si="19"/>
        <v>0.07546366079035323</v>
      </c>
      <c r="N84" s="56"/>
      <c r="O84" s="55"/>
      <c r="P84" s="56"/>
      <c r="Q84" s="9">
        <v>3762508.499999988</v>
      </c>
      <c r="R84" s="14">
        <v>0.07600743783410165</v>
      </c>
      <c r="S84" s="10">
        <v>4848</v>
      </c>
      <c r="T84" s="14">
        <f t="shared" si="17"/>
        <v>0.07388554446391832</v>
      </c>
      <c r="U84" s="56"/>
      <c r="V84" s="55"/>
      <c r="W84" s="56"/>
      <c r="X84" s="9">
        <v>3299389.1399999945</v>
      </c>
      <c r="Y84" s="14">
        <v>0.07442731263060216</v>
      </c>
      <c r="Z84" s="10">
        <v>4344</v>
      </c>
      <c r="AA84" s="14">
        <v>0.07571901690779152</v>
      </c>
      <c r="AB84" s="56"/>
      <c r="AC84" s="55"/>
      <c r="AD84" s="56"/>
      <c r="AE84" s="9">
        <v>2766761.3000000063</v>
      </c>
      <c r="AF84" s="14">
        <v>0.07400590826574202</v>
      </c>
      <c r="AG84" s="10">
        <v>3864</v>
      </c>
      <c r="AH84" s="14">
        <v>0.07752964545837597</v>
      </c>
      <c r="AI84" s="56"/>
      <c r="AJ84" s="55"/>
      <c r="AK84" s="56"/>
      <c r="AL84" s="9">
        <v>2521573.61</v>
      </c>
      <c r="AM84" s="14">
        <v>0.07219354789088665</v>
      </c>
      <c r="AN84" s="10">
        <v>3659</v>
      </c>
      <c r="AO84" s="14">
        <v>0.07785934673901479</v>
      </c>
      <c r="AP84" s="56"/>
      <c r="AQ84" s="55"/>
      <c r="AR84" s="56"/>
      <c r="AS84" s="9">
        <v>2202911.65</v>
      </c>
      <c r="AT84" s="14">
        <v>0.06882351963152679</v>
      </c>
      <c r="AU84" s="10">
        <v>3231</v>
      </c>
      <c r="AV84" s="14">
        <v>0.07672944026217673</v>
      </c>
      <c r="AW84" s="56"/>
      <c r="AX84" s="55"/>
      <c r="AY84" s="56"/>
      <c r="AZ84" s="9">
        <v>2226303.24</v>
      </c>
      <c r="BA84" s="14">
        <v>0.06347592215411275</v>
      </c>
      <c r="BB84" s="10">
        <v>2948</v>
      </c>
      <c r="BC84" s="14">
        <v>0.06861558514104832</v>
      </c>
      <c r="BD84" s="56"/>
      <c r="BE84" s="55"/>
      <c r="BF84" s="56"/>
      <c r="BG84" s="9">
        <v>1839448.93</v>
      </c>
      <c r="BH84" s="14">
        <v>0.06214464283511915</v>
      </c>
      <c r="BI84" s="10">
        <v>2485</v>
      </c>
      <c r="BJ84" s="14">
        <v>0.0665773610180844</v>
      </c>
      <c r="BK84" s="56"/>
      <c r="BL84" s="55"/>
      <c r="BM84" s="56"/>
      <c r="BN84" s="9">
        <v>1601019.56</v>
      </c>
      <c r="BO84" s="14">
        <v>0.0614246411359445</v>
      </c>
      <c r="BP84" s="10">
        <v>2152</v>
      </c>
      <c r="BQ84" s="14">
        <v>0.06537059538274605</v>
      </c>
      <c r="BR84" s="56"/>
      <c r="BS84" s="55"/>
      <c r="BT84" s="56"/>
      <c r="BU84" s="9">
        <v>1475639.72</v>
      </c>
      <c r="BV84" s="14">
        <v>0.06090584196540785</v>
      </c>
      <c r="BW84" s="10">
        <v>1895</v>
      </c>
      <c r="BX84" s="14">
        <v>0.06186947011002644</v>
      </c>
      <c r="BY84" s="56"/>
      <c r="BZ84" s="55"/>
      <c r="CA84" s="56"/>
      <c r="CB84" s="9">
        <v>1521022.54</v>
      </c>
      <c r="CC84" s="14">
        <v>0.05984346893566309</v>
      </c>
      <c r="CD84" s="10">
        <v>1832</v>
      </c>
      <c r="CE84" s="14">
        <v>0.060215619247962135</v>
      </c>
      <c r="CF84" s="56"/>
      <c r="CG84" s="55"/>
      <c r="CH84" s="56"/>
      <c r="CI84" s="9">
        <v>1129181.05</v>
      </c>
      <c r="CJ84" s="14">
        <v>0.06023146365934438</v>
      </c>
      <c r="CK84" s="10">
        <v>1585</v>
      </c>
      <c r="CL84" s="14">
        <v>0.06662463219840269</v>
      </c>
      <c r="CM84" s="56"/>
      <c r="CN84" s="55"/>
      <c r="CO84" s="56"/>
      <c r="CP84" s="9">
        <v>825553.5399999983</v>
      </c>
      <c r="CQ84" s="14">
        <v>0.057659320079896645</v>
      </c>
      <c r="CR84" s="10">
        <v>1223</v>
      </c>
      <c r="CS84" s="14">
        <v>0.06560102987716569</v>
      </c>
      <c r="CT84" s="56"/>
      <c r="CU84" s="55"/>
      <c r="CV84" s="56"/>
      <c r="CW84" s="9">
        <v>748417.72</v>
      </c>
      <c r="CX84" s="14">
        <v>0.051038706409522704</v>
      </c>
      <c r="CY84" s="10">
        <v>1031</v>
      </c>
      <c r="CZ84" s="14">
        <v>0.058579545454545454</v>
      </c>
      <c r="DA84" s="56"/>
      <c r="DB84" s="55"/>
      <c r="DC84" s="56"/>
    </row>
    <row r="85" spans="1:107" ht="12.75">
      <c r="A85" s="8" t="s">
        <v>69</v>
      </c>
      <c r="B85" s="8"/>
      <c r="C85" s="8"/>
      <c r="D85" s="9">
        <v>3037930.69</v>
      </c>
      <c r="E85" s="14">
        <f t="shared" si="15"/>
        <v>0.050421761433303965</v>
      </c>
      <c r="F85" s="10">
        <v>3389</v>
      </c>
      <c r="G85" s="14">
        <f t="shared" si="16"/>
        <v>0.044258420069737375</v>
      </c>
      <c r="H85" s="8"/>
      <c r="I85" s="8"/>
      <c r="J85" s="9">
        <v>2368687.16</v>
      </c>
      <c r="K85" s="14">
        <f t="shared" si="18"/>
        <v>0.05544136020191744</v>
      </c>
      <c r="L85" s="10">
        <v>3372</v>
      </c>
      <c r="M85" s="14">
        <f t="shared" si="19"/>
        <v>0.055246084278130936</v>
      </c>
      <c r="N85" s="56"/>
      <c r="O85" s="55"/>
      <c r="P85" s="56"/>
      <c r="Q85" s="9">
        <v>2932337.65</v>
      </c>
      <c r="R85" s="14">
        <v>0.0592369350503716</v>
      </c>
      <c r="S85" s="10">
        <v>3987</v>
      </c>
      <c r="T85" s="14">
        <f t="shared" si="17"/>
        <v>0.06076354492113084</v>
      </c>
      <c r="U85" s="56"/>
      <c r="V85" s="55"/>
      <c r="W85" s="56"/>
      <c r="X85" s="9">
        <v>2751250.16</v>
      </c>
      <c r="Y85" s="14">
        <v>0.06206244462067732</v>
      </c>
      <c r="Z85" s="10">
        <v>3887</v>
      </c>
      <c r="AA85" s="14">
        <v>0.0677531811051072</v>
      </c>
      <c r="AB85" s="56"/>
      <c r="AC85" s="55"/>
      <c r="AD85" s="56"/>
      <c r="AE85" s="9">
        <v>2362209.91</v>
      </c>
      <c r="AF85" s="14">
        <v>0.06318488331605855</v>
      </c>
      <c r="AG85" s="10">
        <v>3393</v>
      </c>
      <c r="AH85" s="14">
        <v>0.06807921507253356</v>
      </c>
      <c r="AI85" s="56"/>
      <c r="AJ85" s="55"/>
      <c r="AK85" s="56"/>
      <c r="AL85" s="9">
        <v>2171851.42</v>
      </c>
      <c r="AM85" s="14">
        <v>0.062180877401258966</v>
      </c>
      <c r="AN85" s="10">
        <v>2929</v>
      </c>
      <c r="AO85" s="14">
        <v>0.06232577933822747</v>
      </c>
      <c r="AP85" s="56"/>
      <c r="AQ85" s="55"/>
      <c r="AR85" s="56"/>
      <c r="AS85" s="9">
        <v>2045382.98</v>
      </c>
      <c r="AT85" s="14">
        <v>0.06390199792080663</v>
      </c>
      <c r="AU85" s="10">
        <v>2470</v>
      </c>
      <c r="AV85" s="14">
        <v>0.05865729416514284</v>
      </c>
      <c r="AW85" s="56"/>
      <c r="AX85" s="55"/>
      <c r="AY85" s="56"/>
      <c r="AZ85" s="9">
        <v>2235369.22</v>
      </c>
      <c r="BA85" s="14">
        <v>0.06373440960110151</v>
      </c>
      <c r="BB85" s="10">
        <v>2494</v>
      </c>
      <c r="BC85" s="14">
        <v>0.05804859882692487</v>
      </c>
      <c r="BD85" s="56"/>
      <c r="BE85" s="55"/>
      <c r="BF85" s="56"/>
      <c r="BG85" s="9">
        <v>1922814.81</v>
      </c>
      <c r="BH85" s="14">
        <v>0.0649611074581599</v>
      </c>
      <c r="BI85" s="10">
        <v>2268</v>
      </c>
      <c r="BJ85" s="14">
        <v>0.06076356329537843</v>
      </c>
      <c r="BK85" s="56"/>
      <c r="BL85" s="55"/>
      <c r="BM85" s="56"/>
      <c r="BN85" s="9">
        <v>1708553.64</v>
      </c>
      <c r="BO85" s="14">
        <v>0.06555028859142227</v>
      </c>
      <c r="BP85" s="10">
        <v>1965</v>
      </c>
      <c r="BQ85" s="14">
        <v>0.05969015795868773</v>
      </c>
      <c r="BR85" s="56"/>
      <c r="BS85" s="55"/>
      <c r="BT85" s="56"/>
      <c r="BU85" s="9">
        <v>1530086.02</v>
      </c>
      <c r="BV85" s="14">
        <v>0.0631530691838519</v>
      </c>
      <c r="BW85" s="10">
        <v>1772</v>
      </c>
      <c r="BX85" s="14">
        <v>0.0578536680923308</v>
      </c>
      <c r="BY85" s="56"/>
      <c r="BZ85" s="55"/>
      <c r="CA85" s="56"/>
      <c r="CB85" s="9">
        <v>1425863.86</v>
      </c>
      <c r="CC85" s="14">
        <v>0.05609952342481035</v>
      </c>
      <c r="CD85" s="10">
        <v>1640</v>
      </c>
      <c r="CE85" s="14">
        <v>0.05390481199053379</v>
      </c>
      <c r="CF85" s="56"/>
      <c r="CG85" s="55"/>
      <c r="CH85" s="56"/>
      <c r="CI85" s="9">
        <v>1126186.76</v>
      </c>
      <c r="CJ85" s="14">
        <v>0.060071745721002594</v>
      </c>
      <c r="CK85" s="10">
        <v>1359</v>
      </c>
      <c r="CL85" s="14">
        <v>0.05712484237074401</v>
      </c>
      <c r="CM85" s="56"/>
      <c r="CN85" s="55"/>
      <c r="CO85" s="56"/>
      <c r="CP85" s="9">
        <v>904620.77</v>
      </c>
      <c r="CQ85" s="14">
        <v>0.06318163026513422</v>
      </c>
      <c r="CR85" s="10">
        <v>1166</v>
      </c>
      <c r="CS85" s="14">
        <v>0.06254358204151693</v>
      </c>
      <c r="CT85" s="56"/>
      <c r="CU85" s="55"/>
      <c r="CV85" s="56"/>
      <c r="CW85" s="9">
        <v>800825.18</v>
      </c>
      <c r="CX85" s="14">
        <v>0.054612658352575075</v>
      </c>
      <c r="CY85" s="10">
        <v>990</v>
      </c>
      <c r="CZ85" s="14">
        <v>0.05625</v>
      </c>
      <c r="DA85" s="56"/>
      <c r="DB85" s="55"/>
      <c r="DC85" s="56"/>
    </row>
    <row r="86" spans="1:107" ht="12.75">
      <c r="A86" s="8" t="s">
        <v>70</v>
      </c>
      <c r="B86" s="8"/>
      <c r="C86" s="8"/>
      <c r="D86" s="9">
        <v>3053928.67</v>
      </c>
      <c r="E86" s="14">
        <f t="shared" si="15"/>
        <v>0.05068728636237164</v>
      </c>
      <c r="F86" s="10">
        <v>3836</v>
      </c>
      <c r="G86" s="14">
        <f t="shared" si="16"/>
        <v>0.05009598683609105</v>
      </c>
      <c r="H86" s="8"/>
      <c r="I86" s="8"/>
      <c r="J86" s="9">
        <v>2375965.9500000076</v>
      </c>
      <c r="K86" s="14">
        <f t="shared" si="18"/>
        <v>0.055611727156675846</v>
      </c>
      <c r="L86" s="10">
        <v>3830</v>
      </c>
      <c r="M86" s="14">
        <f t="shared" si="19"/>
        <v>0.0627498525460384</v>
      </c>
      <c r="N86" s="56"/>
      <c r="O86" s="55"/>
      <c r="P86" s="56"/>
      <c r="Q86" s="9">
        <v>2382604.22</v>
      </c>
      <c r="R86" s="14">
        <v>0.04813162339298875</v>
      </c>
      <c r="S86" s="10">
        <v>3722</v>
      </c>
      <c r="T86" s="14">
        <f t="shared" si="17"/>
        <v>0.05672483426045874</v>
      </c>
      <c r="U86" s="56"/>
      <c r="V86" s="55"/>
      <c r="W86" s="56"/>
      <c r="X86" s="9">
        <v>2115711.16</v>
      </c>
      <c r="Y86" s="14">
        <v>0.04772601510756452</v>
      </c>
      <c r="Z86" s="10">
        <v>3295</v>
      </c>
      <c r="AA86" s="14">
        <v>0.0574341990587415</v>
      </c>
      <c r="AB86" s="56"/>
      <c r="AC86" s="55"/>
      <c r="AD86" s="56"/>
      <c r="AE86" s="9">
        <v>1731225.41</v>
      </c>
      <c r="AF86" s="14">
        <v>0.046307178317038566</v>
      </c>
      <c r="AG86" s="10">
        <v>2719</v>
      </c>
      <c r="AH86" s="14">
        <v>0.054555669255001105</v>
      </c>
      <c r="AI86" s="56"/>
      <c r="AJ86" s="55"/>
      <c r="AK86" s="56"/>
      <c r="AL86" s="9">
        <v>1495165.57</v>
      </c>
      <c r="AM86" s="14">
        <v>0.04280712121769073</v>
      </c>
      <c r="AN86" s="10">
        <v>2354</v>
      </c>
      <c r="AO86" s="14">
        <v>0.05009043515267582</v>
      </c>
      <c r="AP86" s="56"/>
      <c r="AQ86" s="55"/>
      <c r="AR86" s="56"/>
      <c r="AS86" s="9">
        <v>1312607.96</v>
      </c>
      <c r="AT86" s="14">
        <v>0.04100858956534108</v>
      </c>
      <c r="AU86" s="10">
        <v>2003</v>
      </c>
      <c r="AV86" s="14">
        <v>0.04756702842622717</v>
      </c>
      <c r="AW86" s="56"/>
      <c r="AX86" s="55"/>
      <c r="AY86" s="56"/>
      <c r="AZ86" s="9">
        <v>1325850.3</v>
      </c>
      <c r="BA86" s="14">
        <v>0.03780238420297448</v>
      </c>
      <c r="BB86" s="10">
        <v>1994</v>
      </c>
      <c r="BC86" s="14">
        <v>0.04641094870123825</v>
      </c>
      <c r="BD86" s="56"/>
      <c r="BE86" s="55"/>
      <c r="BF86" s="56"/>
      <c r="BG86" s="9">
        <v>1122750.7</v>
      </c>
      <c r="BH86" s="14">
        <v>0.03793143702248914</v>
      </c>
      <c r="BI86" s="10">
        <v>1726</v>
      </c>
      <c r="BJ86" s="14">
        <v>0.04624246483590087</v>
      </c>
      <c r="BK86" s="56"/>
      <c r="BL86" s="55"/>
      <c r="BM86" s="56"/>
      <c r="BN86" s="9">
        <v>932755.8499999979</v>
      </c>
      <c r="BO86" s="14">
        <v>0.03578606706947589</v>
      </c>
      <c r="BP86" s="10">
        <v>1472</v>
      </c>
      <c r="BQ86" s="14">
        <v>0.04471445929526124</v>
      </c>
      <c r="BR86" s="56"/>
      <c r="BS86" s="55"/>
      <c r="BT86" s="56"/>
      <c r="BU86" s="9">
        <v>837919.99</v>
      </c>
      <c r="BV86" s="14">
        <v>0.03458447329582324</v>
      </c>
      <c r="BW86" s="10">
        <v>1310</v>
      </c>
      <c r="BX86" s="14">
        <v>0.04276992392830324</v>
      </c>
      <c r="BY86" s="56"/>
      <c r="BZ86" s="55"/>
      <c r="CA86" s="56"/>
      <c r="CB86" s="9">
        <v>827275.09</v>
      </c>
      <c r="CC86" s="14">
        <v>0.032548505921327735</v>
      </c>
      <c r="CD86" s="10">
        <v>1283</v>
      </c>
      <c r="CE86" s="14">
        <v>0.04217065474625296</v>
      </c>
      <c r="CF86" s="56"/>
      <c r="CG86" s="55"/>
      <c r="CH86" s="56"/>
      <c r="CI86" s="9">
        <v>640605.59</v>
      </c>
      <c r="CJ86" s="14">
        <v>0.034170439110767815</v>
      </c>
      <c r="CK86" s="10">
        <v>1027</v>
      </c>
      <c r="CL86" s="14">
        <v>0.04316939890710383</v>
      </c>
      <c r="CM86" s="56"/>
      <c r="CN86" s="55"/>
      <c r="CO86" s="56"/>
      <c r="CP86" s="9">
        <v>520971.83</v>
      </c>
      <c r="CQ86" s="14">
        <v>0.03638635175445989</v>
      </c>
      <c r="CR86" s="10">
        <v>777</v>
      </c>
      <c r="CS86" s="14">
        <v>0.041677841549106906</v>
      </c>
      <c r="CT86" s="56"/>
      <c r="CU86" s="55"/>
      <c r="CV86" s="56"/>
      <c r="CW86" s="9">
        <v>480248.22</v>
      </c>
      <c r="CX86" s="14">
        <v>0.032750758365630225</v>
      </c>
      <c r="CY86" s="10">
        <v>677</v>
      </c>
      <c r="CZ86" s="14">
        <v>0.03846590909090909</v>
      </c>
      <c r="DA86" s="56"/>
      <c r="DB86" s="55"/>
      <c r="DC86" s="56"/>
    </row>
    <row r="87" spans="1:107" ht="12.75">
      <c r="A87" s="8" t="s">
        <v>71</v>
      </c>
      <c r="B87" s="8"/>
      <c r="C87" s="8"/>
      <c r="D87" s="9">
        <v>1559711.25</v>
      </c>
      <c r="E87" s="14">
        <f t="shared" si="15"/>
        <v>0.025887156942458196</v>
      </c>
      <c r="F87" s="10">
        <v>3195</v>
      </c>
      <c r="G87" s="14">
        <f t="shared" si="16"/>
        <v>0.04172488997427291</v>
      </c>
      <c r="H87" s="8"/>
      <c r="I87" s="8"/>
      <c r="J87" s="9">
        <v>966098.9400000008</v>
      </c>
      <c r="K87" s="14">
        <f t="shared" si="18"/>
        <v>0.022612458169963934</v>
      </c>
      <c r="L87" s="10">
        <v>3154</v>
      </c>
      <c r="M87" s="14">
        <f t="shared" si="19"/>
        <v>0.05167442165279507</v>
      </c>
      <c r="N87" s="56"/>
      <c r="O87" s="55"/>
      <c r="P87" s="56"/>
      <c r="Q87" s="9">
        <v>1155584.96</v>
      </c>
      <c r="R87" s="14">
        <v>0.023344280022018098</v>
      </c>
      <c r="S87" s="10">
        <v>3112</v>
      </c>
      <c r="T87" s="14">
        <f t="shared" si="17"/>
        <v>0.04742817953211918</v>
      </c>
      <c r="U87" s="56"/>
      <c r="V87" s="55"/>
      <c r="W87" s="56"/>
      <c r="X87" s="9">
        <v>941222.1400000008</v>
      </c>
      <c r="Y87" s="14">
        <v>0.021232001287554876</v>
      </c>
      <c r="Z87" s="10">
        <v>2494</v>
      </c>
      <c r="AA87" s="14">
        <v>0.04347219801289873</v>
      </c>
      <c r="AB87" s="56"/>
      <c r="AC87" s="55"/>
      <c r="AD87" s="56"/>
      <c r="AE87" s="9">
        <v>713597.6699999969</v>
      </c>
      <c r="AF87" s="14">
        <v>0.019087459299313932</v>
      </c>
      <c r="AG87" s="10">
        <v>1776</v>
      </c>
      <c r="AH87" s="14">
        <v>0.035634743875278395</v>
      </c>
      <c r="AI87" s="56"/>
      <c r="AJ87" s="55"/>
      <c r="AK87" s="56"/>
      <c r="AL87" s="9">
        <v>593112.3</v>
      </c>
      <c r="AM87" s="14">
        <v>0.01698101576924574</v>
      </c>
      <c r="AN87" s="10">
        <v>1246</v>
      </c>
      <c r="AO87" s="14">
        <v>0.026513458878604106</v>
      </c>
      <c r="AP87" s="56"/>
      <c r="AQ87" s="55"/>
      <c r="AR87" s="56"/>
      <c r="AS87" s="9">
        <v>489687.87</v>
      </c>
      <c r="AT87" s="14">
        <v>0.015298862636758736</v>
      </c>
      <c r="AU87" s="10">
        <v>943</v>
      </c>
      <c r="AV87" s="14">
        <v>0.022394262509202307</v>
      </c>
      <c r="AW87" s="56"/>
      <c r="AX87" s="55"/>
      <c r="AY87" s="56"/>
      <c r="AZ87" s="9">
        <v>498817.0500000005</v>
      </c>
      <c r="BA87" s="14">
        <v>0.01422217408035761</v>
      </c>
      <c r="BB87" s="10">
        <v>848</v>
      </c>
      <c r="BC87" s="14">
        <v>0.01973745461316451</v>
      </c>
      <c r="BD87" s="56"/>
      <c r="BE87" s="55"/>
      <c r="BF87" s="56"/>
      <c r="BG87" s="9">
        <v>423979.11</v>
      </c>
      <c r="BH87" s="14">
        <v>0.014323871639372822</v>
      </c>
      <c r="BI87" s="10">
        <v>701</v>
      </c>
      <c r="BJ87" s="14">
        <v>0.018780977896851975</v>
      </c>
      <c r="BK87" s="56"/>
      <c r="BL87" s="55"/>
      <c r="BM87" s="56"/>
      <c r="BN87" s="9">
        <v>376677.22</v>
      </c>
      <c r="BO87" s="14">
        <v>0.014451580505728003</v>
      </c>
      <c r="BP87" s="10">
        <v>627</v>
      </c>
      <c r="BQ87" s="14">
        <v>0.019046172539489672</v>
      </c>
      <c r="BR87" s="56"/>
      <c r="BS87" s="55"/>
      <c r="BT87" s="56"/>
      <c r="BU87" s="9">
        <v>328843.45</v>
      </c>
      <c r="BV87" s="14">
        <v>0.013572748771671375</v>
      </c>
      <c r="BW87" s="10">
        <v>563</v>
      </c>
      <c r="BX87" s="14">
        <v>0.018381272650102844</v>
      </c>
      <c r="BY87" s="56"/>
      <c r="BZ87" s="55"/>
      <c r="CA87" s="56"/>
      <c r="CB87" s="9">
        <v>337573.32</v>
      </c>
      <c r="CC87" s="14">
        <v>0.013281564183084798</v>
      </c>
      <c r="CD87" s="10">
        <v>541</v>
      </c>
      <c r="CE87" s="14">
        <v>0.01778201419931633</v>
      </c>
      <c r="CF87" s="56"/>
      <c r="CG87" s="55"/>
      <c r="CH87" s="56"/>
      <c r="CI87" s="9">
        <v>266074.4</v>
      </c>
      <c r="CJ87" s="14">
        <v>0.014192631513150046</v>
      </c>
      <c r="CK87" s="10">
        <v>421</v>
      </c>
      <c r="CL87" s="14">
        <v>0.01769651113913409</v>
      </c>
      <c r="CM87" s="56"/>
      <c r="CN87" s="55"/>
      <c r="CO87" s="56"/>
      <c r="CP87" s="9">
        <v>226399.34</v>
      </c>
      <c r="CQ87" s="14">
        <v>0.01581245961459673</v>
      </c>
      <c r="CR87" s="10">
        <v>365</v>
      </c>
      <c r="CS87" s="14">
        <v>0.01957839403529475</v>
      </c>
      <c r="CT87" s="56"/>
      <c r="CU87" s="55"/>
      <c r="CV87" s="56"/>
      <c r="CW87" s="9">
        <v>211584.4</v>
      </c>
      <c r="CX87" s="14">
        <v>0.01442909993156633</v>
      </c>
      <c r="CY87" s="10">
        <v>352</v>
      </c>
      <c r="CZ87" s="14">
        <v>0.02</v>
      </c>
      <c r="DA87" s="56"/>
      <c r="DB87" s="55"/>
      <c r="DC87" s="56"/>
    </row>
    <row r="88" spans="1:107" ht="12.75">
      <c r="A88" s="8" t="s">
        <v>72</v>
      </c>
      <c r="B88" s="8"/>
      <c r="C88" s="8"/>
      <c r="D88" s="9">
        <v>1089897.11</v>
      </c>
      <c r="E88" s="14">
        <f t="shared" si="15"/>
        <v>0.018089462096078122</v>
      </c>
      <c r="F88" s="10">
        <v>1931</v>
      </c>
      <c r="G88" s="14">
        <f t="shared" si="16"/>
        <v>0.025217766053308607</v>
      </c>
      <c r="H88" s="8"/>
      <c r="I88" s="8"/>
      <c r="J88" s="9">
        <v>769785.319999999</v>
      </c>
      <c r="K88" s="14">
        <f t="shared" si="18"/>
        <v>0.01801755247589058</v>
      </c>
      <c r="L88" s="10">
        <v>1949</v>
      </c>
      <c r="M88" s="14">
        <f t="shared" si="19"/>
        <v>0.03193197457238351</v>
      </c>
      <c r="N88" s="56"/>
      <c r="O88" s="55"/>
      <c r="P88" s="56"/>
      <c r="Q88" s="9">
        <v>897592.4499999977</v>
      </c>
      <c r="R88" s="14">
        <v>0.01813250450962012</v>
      </c>
      <c r="S88" s="10">
        <v>2046</v>
      </c>
      <c r="T88" s="14">
        <f t="shared" si="17"/>
        <v>0.03118189438390612</v>
      </c>
      <c r="U88" s="56"/>
      <c r="V88" s="55"/>
      <c r="W88" s="56"/>
      <c r="X88" s="9">
        <v>871570.6299999993</v>
      </c>
      <c r="Y88" s="14">
        <v>0.019660809018320565</v>
      </c>
      <c r="Z88" s="10">
        <v>1515</v>
      </c>
      <c r="AA88" s="14">
        <v>0.02640753006797978</v>
      </c>
      <c r="AB88" s="56"/>
      <c r="AC88" s="55"/>
      <c r="AD88" s="56"/>
      <c r="AE88" s="9">
        <v>747206.88</v>
      </c>
      <c r="AF88" s="14">
        <v>0.01998644545765881</v>
      </c>
      <c r="AG88" s="10">
        <v>1301</v>
      </c>
      <c r="AH88" s="14">
        <v>0.026104055057284456</v>
      </c>
      <c r="AI88" s="56"/>
      <c r="AJ88" s="55"/>
      <c r="AK88" s="56"/>
      <c r="AL88" s="9">
        <v>667713.46</v>
      </c>
      <c r="AM88" s="14">
        <v>0.019116873471680885</v>
      </c>
      <c r="AN88" s="10">
        <v>1150</v>
      </c>
      <c r="AO88" s="14">
        <v>0.02447068837110331</v>
      </c>
      <c r="AP88" s="56"/>
      <c r="AQ88" s="55"/>
      <c r="AR88" s="56"/>
      <c r="AS88" s="9">
        <v>590028.72</v>
      </c>
      <c r="AT88" s="14">
        <v>0.018433718480759143</v>
      </c>
      <c r="AU88" s="10">
        <v>912</v>
      </c>
      <c r="AV88" s="14">
        <v>0.021658077845591202</v>
      </c>
      <c r="AW88" s="56"/>
      <c r="AX88" s="55"/>
      <c r="AY88" s="56"/>
      <c r="AZ88" s="9">
        <v>602124.8600000012</v>
      </c>
      <c r="BA88" s="14">
        <v>0.0171676661353716</v>
      </c>
      <c r="BB88" s="10">
        <v>926</v>
      </c>
      <c r="BC88" s="14">
        <v>0.02155292803277162</v>
      </c>
      <c r="BD88" s="56"/>
      <c r="BE88" s="55"/>
      <c r="BF88" s="56"/>
      <c r="BG88" s="9">
        <v>494976.18999999925</v>
      </c>
      <c r="BH88" s="14">
        <v>0.016722464015044996</v>
      </c>
      <c r="BI88" s="10">
        <v>790</v>
      </c>
      <c r="BJ88" s="14">
        <v>0.02116543871399866</v>
      </c>
      <c r="BK88" s="56"/>
      <c r="BL88" s="55"/>
      <c r="BM88" s="56"/>
      <c r="BN88" s="9">
        <v>426080.66</v>
      </c>
      <c r="BO88" s="14">
        <v>0.0163469905611062</v>
      </c>
      <c r="BP88" s="10">
        <v>664</v>
      </c>
      <c r="BQ88" s="14">
        <v>0.02017010935601458</v>
      </c>
      <c r="BR88" s="56"/>
      <c r="BS88" s="55"/>
      <c r="BT88" s="56"/>
      <c r="BU88" s="9">
        <v>363546</v>
      </c>
      <c r="BV88" s="14">
        <v>0.015005068597066584</v>
      </c>
      <c r="BW88" s="10">
        <v>592</v>
      </c>
      <c r="BX88" s="14">
        <v>0.019328087759966046</v>
      </c>
      <c r="BY88" s="56"/>
      <c r="BZ88" s="55"/>
      <c r="CA88" s="56"/>
      <c r="CB88" s="9">
        <v>354942.9</v>
      </c>
      <c r="CC88" s="14">
        <v>0.013964957028239817</v>
      </c>
      <c r="CD88" s="10">
        <v>557</v>
      </c>
      <c r="CE88" s="14">
        <v>0.018307914804102026</v>
      </c>
      <c r="CF88" s="56"/>
      <c r="CG88" s="55"/>
      <c r="CH88" s="56"/>
      <c r="CI88" s="9">
        <v>293572.69</v>
      </c>
      <c r="CJ88" s="14">
        <v>0.015659413350154038</v>
      </c>
      <c r="CK88" s="10">
        <v>460</v>
      </c>
      <c r="CL88" s="14">
        <v>0.019335855401429174</v>
      </c>
      <c r="CM88" s="56"/>
      <c r="CN88" s="55"/>
      <c r="CO88" s="56"/>
      <c r="CP88" s="9">
        <v>246360.65</v>
      </c>
      <c r="CQ88" s="14">
        <v>0.01720662184240821</v>
      </c>
      <c r="CR88" s="10">
        <v>402</v>
      </c>
      <c r="CS88" s="14">
        <v>0.021563053156680792</v>
      </c>
      <c r="CT88" s="56"/>
      <c r="CU88" s="55"/>
      <c r="CV88" s="56"/>
      <c r="CW88" s="9">
        <v>222886.94</v>
      </c>
      <c r="CX88" s="14">
        <v>0.015199882083466574</v>
      </c>
      <c r="CY88" s="10">
        <v>374</v>
      </c>
      <c r="CZ88" s="14">
        <v>0.02125</v>
      </c>
      <c r="DA88" s="56"/>
      <c r="DB88" s="55"/>
      <c r="DC88" s="56"/>
    </row>
    <row r="89" spans="1:107" ht="12.75">
      <c r="A89" s="8" t="s">
        <v>73</v>
      </c>
      <c r="B89" s="8"/>
      <c r="C89" s="8"/>
      <c r="D89" s="9">
        <v>1689815.84</v>
      </c>
      <c r="E89" s="14">
        <f t="shared" si="15"/>
        <v>0.02804655531844874</v>
      </c>
      <c r="F89" s="10">
        <v>2586</v>
      </c>
      <c r="G89" s="14">
        <f t="shared" si="16"/>
        <v>0.0337716949838716</v>
      </c>
      <c r="H89" s="8"/>
      <c r="I89" s="8"/>
      <c r="J89" s="9">
        <v>1252350.64</v>
      </c>
      <c r="K89" s="14">
        <f t="shared" si="18"/>
        <v>0.02931244957284348</v>
      </c>
      <c r="L89" s="10">
        <v>2476</v>
      </c>
      <c r="M89" s="14">
        <f t="shared" si="19"/>
        <v>0.04056622321253031</v>
      </c>
      <c r="N89" s="56"/>
      <c r="O89" s="55"/>
      <c r="P89" s="56"/>
      <c r="Q89" s="9">
        <v>1615639.41</v>
      </c>
      <c r="R89" s="14">
        <v>0.03263796268311419</v>
      </c>
      <c r="S89" s="10">
        <v>2539</v>
      </c>
      <c r="T89" s="14">
        <f t="shared" si="17"/>
        <v>0.03869542025451497</v>
      </c>
      <c r="U89" s="56"/>
      <c r="V89" s="55"/>
      <c r="W89" s="56"/>
      <c r="X89" s="9">
        <v>1518035.16</v>
      </c>
      <c r="Y89" s="14">
        <v>0.03424369561862781</v>
      </c>
      <c r="Z89" s="10">
        <v>2366</v>
      </c>
      <c r="AA89" s="14">
        <v>0.04124106675963047</v>
      </c>
      <c r="AB89" s="56"/>
      <c r="AC89" s="55"/>
      <c r="AD89" s="56"/>
      <c r="AE89" s="9">
        <v>1290748.67</v>
      </c>
      <c r="AF89" s="14">
        <v>0.034525214613254945</v>
      </c>
      <c r="AG89" s="10">
        <v>2099</v>
      </c>
      <c r="AH89" s="14">
        <v>0.04211561227151427</v>
      </c>
      <c r="AI89" s="56"/>
      <c r="AJ89" s="55"/>
      <c r="AK89" s="56"/>
      <c r="AL89" s="9">
        <v>1113484.58</v>
      </c>
      <c r="AM89" s="14">
        <v>0.03187945893516619</v>
      </c>
      <c r="AN89" s="10">
        <v>1799</v>
      </c>
      <c r="AO89" s="14">
        <v>0.03828066815618683</v>
      </c>
      <c r="AP89" s="56"/>
      <c r="AQ89" s="55"/>
      <c r="AR89" s="56"/>
      <c r="AS89" s="9">
        <v>977307.2900000009</v>
      </c>
      <c r="AT89" s="14">
        <v>0.03053310261414674</v>
      </c>
      <c r="AU89" s="10">
        <v>1488</v>
      </c>
      <c r="AV89" s="14">
        <v>0.03533686385333302</v>
      </c>
      <c r="AW89" s="56"/>
      <c r="AX89" s="55"/>
      <c r="AY89" s="56"/>
      <c r="AZ89" s="9">
        <v>943932.41</v>
      </c>
      <c r="BA89" s="14">
        <v>0.026913216088165944</v>
      </c>
      <c r="BB89" s="10">
        <v>1348</v>
      </c>
      <c r="BC89" s="14">
        <v>0.031375104738851134</v>
      </c>
      <c r="BD89" s="56"/>
      <c r="BE89" s="55"/>
      <c r="BF89" s="56"/>
      <c r="BG89" s="9">
        <v>831284.78</v>
      </c>
      <c r="BH89" s="14">
        <v>0.02808444143506097</v>
      </c>
      <c r="BI89" s="10">
        <v>1220</v>
      </c>
      <c r="BJ89" s="14">
        <v>0.03268586738111186</v>
      </c>
      <c r="BK89" s="56"/>
      <c r="BL89" s="55"/>
      <c r="BM89" s="56"/>
      <c r="BN89" s="9">
        <v>729744.6500000012</v>
      </c>
      <c r="BO89" s="14">
        <v>0.027997348918788675</v>
      </c>
      <c r="BP89" s="10">
        <v>1084</v>
      </c>
      <c r="BQ89" s="14">
        <v>0.03292831105710814</v>
      </c>
      <c r="BR89" s="56"/>
      <c r="BS89" s="55"/>
      <c r="BT89" s="56"/>
      <c r="BU89" s="9">
        <v>653552.05</v>
      </c>
      <c r="BV89" s="14">
        <v>0.026974834936991484</v>
      </c>
      <c r="BW89" s="10">
        <v>930</v>
      </c>
      <c r="BX89" s="14">
        <v>0.030363381109406118</v>
      </c>
      <c r="BY89" s="56"/>
      <c r="BZ89" s="55"/>
      <c r="CA89" s="56"/>
      <c r="CB89" s="9">
        <v>598467.96</v>
      </c>
      <c r="CC89" s="14">
        <v>0.02354626432639829</v>
      </c>
      <c r="CD89" s="10">
        <v>837</v>
      </c>
      <c r="CE89" s="14">
        <v>0.027511175387851697</v>
      </c>
      <c r="CF89" s="56"/>
      <c r="CG89" s="55"/>
      <c r="CH89" s="56"/>
      <c r="CI89" s="9">
        <v>499145.28</v>
      </c>
      <c r="CJ89" s="14">
        <v>0.02662482760674496</v>
      </c>
      <c r="CK89" s="10">
        <v>687</v>
      </c>
      <c r="CL89" s="14">
        <v>0.02887767969735183</v>
      </c>
      <c r="CM89" s="56"/>
      <c r="CN89" s="55"/>
      <c r="CO89" s="56"/>
      <c r="CP89" s="9">
        <v>428774.42</v>
      </c>
      <c r="CQ89" s="14">
        <v>0.02994698747806485</v>
      </c>
      <c r="CR89" s="10">
        <v>588</v>
      </c>
      <c r="CS89" s="14">
        <v>0.031539988199324145</v>
      </c>
      <c r="CT89" s="56"/>
      <c r="CU89" s="55"/>
      <c r="CV89" s="56"/>
      <c r="CW89" s="9">
        <v>397847.59</v>
      </c>
      <c r="CX89" s="14">
        <v>0.027131407767504705</v>
      </c>
      <c r="CY89" s="10">
        <v>557</v>
      </c>
      <c r="CZ89" s="14">
        <v>0.03164772727272727</v>
      </c>
      <c r="DA89" s="56"/>
      <c r="DB89" s="55"/>
      <c r="DC89" s="56"/>
    </row>
    <row r="90" spans="1:107" ht="12.75">
      <c r="A90" s="8" t="s">
        <v>74</v>
      </c>
      <c r="B90" s="8"/>
      <c r="C90" s="8"/>
      <c r="D90" s="9">
        <v>1715299.34</v>
      </c>
      <c r="E90" s="14">
        <f t="shared" si="15"/>
        <v>0.028469515250258638</v>
      </c>
      <c r="F90" s="10">
        <v>2650</v>
      </c>
      <c r="G90" s="14">
        <f t="shared" si="16"/>
        <v>0.03460749872670524</v>
      </c>
      <c r="H90" s="8"/>
      <c r="I90" s="8"/>
      <c r="J90" s="9">
        <v>1430601.04</v>
      </c>
      <c r="K90" s="14">
        <f t="shared" si="18"/>
        <v>0.03348456854212766</v>
      </c>
      <c r="L90" s="10">
        <v>2728</v>
      </c>
      <c r="M90" s="14">
        <f t="shared" si="19"/>
        <v>0.04469493413723049</v>
      </c>
      <c r="N90" s="56"/>
      <c r="O90" s="55"/>
      <c r="P90" s="56"/>
      <c r="Q90" s="9">
        <v>1539325.8400000057</v>
      </c>
      <c r="R90" s="14">
        <v>0.031096331899377</v>
      </c>
      <c r="S90" s="10">
        <v>2645</v>
      </c>
      <c r="T90" s="14">
        <f t="shared" si="17"/>
        <v>0.040310904518783816</v>
      </c>
      <c r="U90" s="56"/>
      <c r="V90" s="55"/>
      <c r="W90" s="56"/>
      <c r="X90" s="9">
        <v>1373129.13</v>
      </c>
      <c r="Y90" s="14">
        <v>0.030974918902926633</v>
      </c>
      <c r="Z90" s="10">
        <v>2220</v>
      </c>
      <c r="AA90" s="14">
        <v>0.038696182673871364</v>
      </c>
      <c r="AB90" s="56"/>
      <c r="AC90" s="55"/>
      <c r="AD90" s="56"/>
      <c r="AE90" s="9">
        <v>1227893.17</v>
      </c>
      <c r="AF90" s="14">
        <v>0.03284394259062073</v>
      </c>
      <c r="AG90" s="10">
        <v>1887</v>
      </c>
      <c r="AH90" s="14">
        <v>0.0378619153674833</v>
      </c>
      <c r="AI90" s="56"/>
      <c r="AJ90" s="55"/>
      <c r="AK90" s="56"/>
      <c r="AL90" s="9">
        <v>1152613.97</v>
      </c>
      <c r="AM90" s="14">
        <v>0.032999747266112905</v>
      </c>
      <c r="AN90" s="10">
        <v>1713</v>
      </c>
      <c r="AO90" s="14">
        <v>0.036450686243217366</v>
      </c>
      <c r="AP90" s="56"/>
      <c r="AQ90" s="55"/>
      <c r="AR90" s="56"/>
      <c r="AS90" s="9">
        <v>1035445.02</v>
      </c>
      <c r="AT90" s="14">
        <v>0.032349445635432815</v>
      </c>
      <c r="AU90" s="10">
        <v>1450</v>
      </c>
      <c r="AV90" s="14">
        <v>0.03443444394310005</v>
      </c>
      <c r="AW90" s="56"/>
      <c r="AX90" s="55"/>
      <c r="AY90" s="56"/>
      <c r="AZ90" s="9">
        <v>1102138.04</v>
      </c>
      <c r="BA90" s="14">
        <v>0.03142394404013281</v>
      </c>
      <c r="BB90" s="10">
        <v>1361</v>
      </c>
      <c r="BC90" s="14">
        <v>0.03167768364211898</v>
      </c>
      <c r="BD90" s="56"/>
      <c r="BE90" s="55"/>
      <c r="BF90" s="56"/>
      <c r="BG90" s="9">
        <v>994345.02</v>
      </c>
      <c r="BH90" s="14">
        <v>0.03359333065190313</v>
      </c>
      <c r="BI90" s="10">
        <v>1205</v>
      </c>
      <c r="BJ90" s="14">
        <v>0.032283991962491626</v>
      </c>
      <c r="BK90" s="56"/>
      <c r="BL90" s="55"/>
      <c r="BM90" s="56"/>
      <c r="BN90" s="9">
        <v>930137.12</v>
      </c>
      <c r="BO90" s="14">
        <v>0.035685596997466394</v>
      </c>
      <c r="BP90" s="10">
        <v>1112</v>
      </c>
      <c r="BQ90" s="14">
        <v>0.03377885783718104</v>
      </c>
      <c r="BR90" s="56"/>
      <c r="BS90" s="55"/>
      <c r="BT90" s="56"/>
      <c r="BU90" s="9">
        <v>831013.48</v>
      </c>
      <c r="BV90" s="14">
        <v>0.034299412653383723</v>
      </c>
      <c r="BW90" s="10">
        <v>1018</v>
      </c>
      <c r="BX90" s="14">
        <v>0.03323647523588756</v>
      </c>
      <c r="BY90" s="56"/>
      <c r="BZ90" s="55"/>
      <c r="CA90" s="56"/>
      <c r="CB90" s="9">
        <v>782442.6499999991</v>
      </c>
      <c r="CC90" s="14">
        <v>0.030784607846253805</v>
      </c>
      <c r="CD90" s="10">
        <v>991</v>
      </c>
      <c r="CE90" s="14">
        <v>0.03257296870891402</v>
      </c>
      <c r="CF90" s="56"/>
      <c r="CG90" s="55"/>
      <c r="CH90" s="56"/>
      <c r="CI90" s="9">
        <v>673246.2899999995</v>
      </c>
      <c r="CJ90" s="14">
        <v>0.03591152140741591</v>
      </c>
      <c r="CK90" s="10">
        <v>879</v>
      </c>
      <c r="CL90" s="14">
        <v>0.036948297604035306</v>
      </c>
      <c r="CM90" s="56"/>
      <c r="CN90" s="55"/>
      <c r="CO90" s="56"/>
      <c r="CP90" s="9">
        <v>591670.04</v>
      </c>
      <c r="CQ90" s="14">
        <v>0.04132414260866149</v>
      </c>
      <c r="CR90" s="10">
        <v>786</v>
      </c>
      <c r="CS90" s="14">
        <v>0.04216059647052513</v>
      </c>
      <c r="CT90" s="56"/>
      <c r="CU90" s="55"/>
      <c r="CV90" s="56"/>
      <c r="CW90" s="9">
        <v>527560.48</v>
      </c>
      <c r="CX90" s="14">
        <v>0.03597724069385593</v>
      </c>
      <c r="CY90" s="10">
        <v>690</v>
      </c>
      <c r="CZ90" s="14">
        <v>0.03920454545454546</v>
      </c>
      <c r="DA90" s="56"/>
      <c r="DB90" s="55"/>
      <c r="DC90" s="56"/>
    </row>
    <row r="91" spans="1:107" ht="12.75">
      <c r="A91" s="8" t="s">
        <v>75</v>
      </c>
      <c r="B91" s="8"/>
      <c r="C91" s="8"/>
      <c r="D91" s="9">
        <v>836970.19</v>
      </c>
      <c r="E91" s="14">
        <f t="shared" si="15"/>
        <v>0.013891531951628261</v>
      </c>
      <c r="F91" s="10">
        <v>1225</v>
      </c>
      <c r="G91" s="14">
        <f t="shared" si="16"/>
        <v>0.015997806015175062</v>
      </c>
      <c r="H91" s="8"/>
      <c r="I91" s="8"/>
      <c r="J91" s="9">
        <v>689089.05</v>
      </c>
      <c r="K91" s="14">
        <f t="shared" si="18"/>
        <v>0.016128780059012564</v>
      </c>
      <c r="L91" s="10">
        <v>1235</v>
      </c>
      <c r="M91" s="14">
        <f t="shared" si="19"/>
        <v>0.02023396028573301</v>
      </c>
      <c r="N91" s="56"/>
      <c r="O91" s="55"/>
      <c r="P91" s="56"/>
      <c r="Q91" s="9">
        <v>718164.69</v>
      </c>
      <c r="R91" s="14">
        <v>0.014507836468627789</v>
      </c>
      <c r="S91" s="10">
        <v>1257</v>
      </c>
      <c r="T91" s="14">
        <f t="shared" si="17"/>
        <v>0.019157204907414464</v>
      </c>
      <c r="U91" s="56"/>
      <c r="V91" s="55"/>
      <c r="W91" s="56"/>
      <c r="X91" s="9">
        <v>620686.73</v>
      </c>
      <c r="Y91" s="14">
        <v>0.014001393391073674</v>
      </c>
      <c r="Z91" s="10">
        <v>1112</v>
      </c>
      <c r="AA91" s="14">
        <v>0.019382952762767997</v>
      </c>
      <c r="AB91" s="56"/>
      <c r="AC91" s="55"/>
      <c r="AD91" s="56"/>
      <c r="AE91" s="9">
        <v>491451.6</v>
      </c>
      <c r="AF91" s="14">
        <v>0.013145449889967773</v>
      </c>
      <c r="AG91" s="10">
        <v>1029</v>
      </c>
      <c r="AH91" s="14">
        <v>0.020646481670980557</v>
      </c>
      <c r="AI91" s="56"/>
      <c r="AJ91" s="55"/>
      <c r="AK91" s="56"/>
      <c r="AL91" s="9">
        <v>389805.53</v>
      </c>
      <c r="AM91" s="14">
        <v>0.011160270747831734</v>
      </c>
      <c r="AN91" s="10">
        <v>913</v>
      </c>
      <c r="AO91" s="14">
        <v>0.019427598680710714</v>
      </c>
      <c r="AP91" s="56"/>
      <c r="AQ91" s="55"/>
      <c r="AR91" s="56"/>
      <c r="AS91" s="9">
        <v>302304.91</v>
      </c>
      <c r="AT91" s="14">
        <v>0.009444631112687582</v>
      </c>
      <c r="AU91" s="10">
        <v>601</v>
      </c>
      <c r="AV91" s="14">
        <v>0.014272483317105606</v>
      </c>
      <c r="AW91" s="56"/>
      <c r="AX91" s="55"/>
      <c r="AY91" s="56"/>
      <c r="AZ91" s="9">
        <v>269169.84</v>
      </c>
      <c r="BA91" s="14">
        <v>0.007674517784951414</v>
      </c>
      <c r="BB91" s="10">
        <v>454</v>
      </c>
      <c r="BC91" s="14">
        <v>0.010566986314123452</v>
      </c>
      <c r="BD91" s="56"/>
      <c r="BE91" s="55"/>
      <c r="BF91" s="56"/>
      <c r="BG91" s="9">
        <v>234187.64</v>
      </c>
      <c r="BH91" s="14">
        <v>0.007911884373000486</v>
      </c>
      <c r="BI91" s="10">
        <v>390</v>
      </c>
      <c r="BJ91" s="14">
        <v>0.010448760884125921</v>
      </c>
      <c r="BK91" s="56"/>
      <c r="BL91" s="55"/>
      <c r="BM91" s="56"/>
      <c r="BN91" s="9">
        <v>212752.92</v>
      </c>
      <c r="BO91" s="14">
        <v>0.008162468522011265</v>
      </c>
      <c r="BP91" s="10">
        <v>331</v>
      </c>
      <c r="BQ91" s="14">
        <v>0.0100546780072904</v>
      </c>
      <c r="BR91" s="56"/>
      <c r="BS91" s="55"/>
      <c r="BT91" s="56"/>
      <c r="BU91" s="9">
        <v>187566.96</v>
      </c>
      <c r="BV91" s="14">
        <v>0.007741675335014673</v>
      </c>
      <c r="BW91" s="10">
        <v>298</v>
      </c>
      <c r="BX91" s="14">
        <v>0.009729341473766692</v>
      </c>
      <c r="BY91" s="56"/>
      <c r="BZ91" s="55"/>
      <c r="CA91" s="56"/>
      <c r="CB91" s="9">
        <v>178251.99</v>
      </c>
      <c r="CC91" s="14">
        <v>0.007013188263656587</v>
      </c>
      <c r="CD91" s="10">
        <v>286</v>
      </c>
      <c r="CE91" s="14">
        <v>0.009400473310544307</v>
      </c>
      <c r="CF91" s="56"/>
      <c r="CG91" s="55"/>
      <c r="CH91" s="56"/>
      <c r="CI91" s="9">
        <v>153451.85</v>
      </c>
      <c r="CJ91" s="14">
        <v>0.008185250298642687</v>
      </c>
      <c r="CK91" s="10">
        <v>241</v>
      </c>
      <c r="CL91" s="14">
        <v>0.010130306851618327</v>
      </c>
      <c r="CM91" s="56"/>
      <c r="CN91" s="55"/>
      <c r="CO91" s="56"/>
      <c r="CP91" s="9">
        <v>134069.75</v>
      </c>
      <c r="CQ91" s="14">
        <v>0.009363863460971584</v>
      </c>
      <c r="CR91" s="10">
        <v>218</v>
      </c>
      <c r="CS91" s="14">
        <v>0.011693396985463712</v>
      </c>
      <c r="CT91" s="56"/>
      <c r="CU91" s="55"/>
      <c r="CV91" s="56"/>
      <c r="CW91" s="9">
        <v>122568.97</v>
      </c>
      <c r="CX91" s="14">
        <v>0.008358649865676084</v>
      </c>
      <c r="CY91" s="10">
        <v>197</v>
      </c>
      <c r="CZ91" s="14">
        <v>0.011193181818181817</v>
      </c>
      <c r="DA91" s="56"/>
      <c r="DB91" s="55"/>
      <c r="DC91" s="56"/>
    </row>
    <row r="92" spans="1:107" ht="12.75">
      <c r="A92" s="8" t="s">
        <v>76</v>
      </c>
      <c r="B92" s="8"/>
      <c r="C92" s="8"/>
      <c r="D92" s="9">
        <v>9805380.7</v>
      </c>
      <c r="E92" s="14">
        <f t="shared" si="15"/>
        <v>0.16274385984037149</v>
      </c>
      <c r="F92" s="10">
        <v>11541</v>
      </c>
      <c r="G92" s="14">
        <f t="shared" si="16"/>
        <v>0.15071892181317176</v>
      </c>
      <c r="H92" s="8"/>
      <c r="I92" s="8"/>
      <c r="J92" s="9">
        <v>8451790.459999993</v>
      </c>
      <c r="K92" s="14">
        <f t="shared" si="18"/>
        <v>0.19782213842202326</v>
      </c>
      <c r="L92" s="10">
        <v>11529</v>
      </c>
      <c r="M92" s="14">
        <f t="shared" si="19"/>
        <v>0.1888885248050331</v>
      </c>
      <c r="N92" s="56"/>
      <c r="O92" s="55"/>
      <c r="P92" s="56"/>
      <c r="Q92" s="9">
        <v>13806085.260000123</v>
      </c>
      <c r="R92" s="14">
        <v>0.27890041102412655</v>
      </c>
      <c r="S92" s="10">
        <v>15445</v>
      </c>
      <c r="T92" s="14">
        <f t="shared" si="17"/>
        <v>0.2353882496380401</v>
      </c>
      <c r="U92" s="56"/>
      <c r="V92" s="55"/>
      <c r="W92" s="56"/>
      <c r="X92" s="9">
        <v>12228194.089999892</v>
      </c>
      <c r="Y92" s="14">
        <v>0.2758424622941279</v>
      </c>
      <c r="Z92" s="10">
        <v>13444</v>
      </c>
      <c r="AA92" s="14">
        <v>0.23433850444483179</v>
      </c>
      <c r="AB92" s="56"/>
      <c r="AC92" s="55"/>
      <c r="AD92" s="56"/>
      <c r="AE92" s="9">
        <v>10321767.619999964</v>
      </c>
      <c r="AF92" s="14">
        <v>0.27608879292406685</v>
      </c>
      <c r="AG92" s="10">
        <v>11829</v>
      </c>
      <c r="AH92" s="14">
        <v>0.23734424848010593</v>
      </c>
      <c r="AI92" s="56"/>
      <c r="AJ92" s="55"/>
      <c r="AK92" s="56"/>
      <c r="AL92" s="9">
        <v>9716005.86999997</v>
      </c>
      <c r="AM92" s="14">
        <v>0.27817269831118596</v>
      </c>
      <c r="AN92" s="10">
        <v>11298</v>
      </c>
      <c r="AO92" s="14">
        <v>0.24040855410150017</v>
      </c>
      <c r="AP92" s="56"/>
      <c r="AQ92" s="55"/>
      <c r="AR92" s="56"/>
      <c r="AS92" s="9">
        <v>9110428.229999946</v>
      </c>
      <c r="AT92" s="14">
        <v>0.2846286350789498</v>
      </c>
      <c r="AU92" s="10">
        <v>10655</v>
      </c>
      <c r="AV92" s="14">
        <v>0.25303379325084896</v>
      </c>
      <c r="AW92" s="56"/>
      <c r="AX92" s="55"/>
      <c r="AY92" s="56"/>
      <c r="AZ92" s="9">
        <v>9085206.349999951</v>
      </c>
      <c r="BA92" s="14">
        <v>0.25903562491632864</v>
      </c>
      <c r="BB92" s="10">
        <v>10442</v>
      </c>
      <c r="BC92" s="14">
        <v>0.2430406852248394</v>
      </c>
      <c r="BD92" s="56"/>
      <c r="BE92" s="55"/>
      <c r="BF92" s="56"/>
      <c r="BG92" s="9">
        <v>7932466.709999994</v>
      </c>
      <c r="BH92" s="14">
        <v>0.2679934748144501</v>
      </c>
      <c r="BI92" s="10">
        <v>8995</v>
      </c>
      <c r="BJ92" s="14">
        <v>0.24099129269926323</v>
      </c>
      <c r="BK92" s="56"/>
      <c r="BL92" s="55"/>
      <c r="BM92" s="56"/>
      <c r="BN92" s="9">
        <v>7177170.469999989</v>
      </c>
      <c r="BO92" s="14">
        <v>0.27535898467801834</v>
      </c>
      <c r="BP92" s="10">
        <v>8018</v>
      </c>
      <c r="BQ92" s="14">
        <v>0.24356014580801943</v>
      </c>
      <c r="BR92" s="56"/>
      <c r="BS92" s="55"/>
      <c r="BT92" s="56"/>
      <c r="BU92" s="9">
        <v>6773478.5800000215</v>
      </c>
      <c r="BV92" s="14">
        <v>0.27956987763216096</v>
      </c>
      <c r="BW92" s="10">
        <v>7513</v>
      </c>
      <c r="BX92" s="14">
        <v>0.24529041104835286</v>
      </c>
      <c r="BY92" s="56"/>
      <c r="BZ92" s="55"/>
      <c r="CA92" s="56"/>
      <c r="CB92" s="9">
        <v>7004974.740000009</v>
      </c>
      <c r="CC92" s="14">
        <v>0.2756053754787194</v>
      </c>
      <c r="CD92" s="10">
        <v>7477</v>
      </c>
      <c r="CE92" s="14">
        <v>0.24575992637391533</v>
      </c>
      <c r="CF92" s="56"/>
      <c r="CG92" s="55"/>
      <c r="CH92" s="56"/>
      <c r="CI92" s="9">
        <v>5922255.990000003</v>
      </c>
      <c r="CJ92" s="14">
        <v>0.3158980983988525</v>
      </c>
      <c r="CK92" s="10">
        <v>6226</v>
      </c>
      <c r="CL92" s="14">
        <v>0.26170659941151747</v>
      </c>
      <c r="CM92" s="56"/>
      <c r="CN92" s="55"/>
      <c r="CO92" s="56"/>
      <c r="CP92" s="9">
        <v>5066447.7100000065</v>
      </c>
      <c r="CQ92" s="14">
        <v>0.3538570377627481</v>
      </c>
      <c r="CR92" s="10">
        <v>5406</v>
      </c>
      <c r="CS92" s="14">
        <v>0.2899747894652148</v>
      </c>
      <c r="CT92" s="56"/>
      <c r="CU92" s="55"/>
      <c r="CV92" s="56"/>
      <c r="CW92" s="9">
        <v>4771649.780000011</v>
      </c>
      <c r="CX92" s="14">
        <v>0.32540495194379454</v>
      </c>
      <c r="CY92" s="10">
        <v>4933</v>
      </c>
      <c r="CZ92" s="14">
        <v>0.2802840909090909</v>
      </c>
      <c r="DA92" s="56"/>
      <c r="DB92" s="55"/>
      <c r="DC92" s="56"/>
    </row>
    <row r="93" spans="1:107" ht="12.75">
      <c r="A93" s="8"/>
      <c r="B93" s="8"/>
      <c r="C93" s="8"/>
      <c r="D93" s="9"/>
      <c r="E93" s="8"/>
      <c r="F93" s="10"/>
      <c r="G93" s="8"/>
      <c r="H93" s="8"/>
      <c r="I93" s="8"/>
      <c r="J93" s="9"/>
      <c r="K93" s="8"/>
      <c r="L93" s="10"/>
      <c r="M93" s="8"/>
      <c r="N93" s="54"/>
      <c r="O93" s="55"/>
      <c r="P93" s="54"/>
      <c r="Q93" s="9"/>
      <c r="R93" s="8"/>
      <c r="S93" s="10"/>
      <c r="T93" s="8"/>
      <c r="U93" s="54"/>
      <c r="V93" s="55"/>
      <c r="W93" s="54"/>
      <c r="X93" s="9"/>
      <c r="Y93" s="8"/>
      <c r="Z93" s="10"/>
      <c r="AA93" s="8"/>
      <c r="AB93" s="54"/>
      <c r="AC93" s="55"/>
      <c r="AD93" s="54"/>
      <c r="AE93" s="9"/>
      <c r="AF93" s="8"/>
      <c r="AG93" s="10"/>
      <c r="AH93" s="8"/>
      <c r="AI93" s="54"/>
      <c r="AJ93" s="55"/>
      <c r="AK93" s="54"/>
      <c r="AL93" s="9"/>
      <c r="AM93" s="8"/>
      <c r="AN93" s="10"/>
      <c r="AO93" s="8"/>
      <c r="AP93" s="54"/>
      <c r="AQ93" s="55"/>
      <c r="AR93" s="54"/>
      <c r="AS93" s="9"/>
      <c r="AT93" s="8"/>
      <c r="AU93" s="10"/>
      <c r="AV93" s="8"/>
      <c r="AW93" s="54"/>
      <c r="AX93" s="55"/>
      <c r="AY93" s="54"/>
      <c r="AZ93" s="9"/>
      <c r="BA93" s="8"/>
      <c r="BB93" s="10"/>
      <c r="BC93" s="8"/>
      <c r="BD93" s="54"/>
      <c r="BE93" s="55"/>
      <c r="BF93" s="54"/>
      <c r="BG93" s="9"/>
      <c r="BH93" s="8"/>
      <c r="BI93" s="10"/>
      <c r="BJ93" s="8"/>
      <c r="BK93" s="54"/>
      <c r="BL93" s="55"/>
      <c r="BM93" s="54"/>
      <c r="BN93" s="9"/>
      <c r="BO93" s="8"/>
      <c r="BP93" s="10"/>
      <c r="BQ93" s="8"/>
      <c r="BR93" s="54"/>
      <c r="BS93" s="55"/>
      <c r="BT93" s="54"/>
      <c r="BU93" s="9"/>
      <c r="BV93" s="8"/>
      <c r="BW93" s="10"/>
      <c r="BX93" s="8"/>
      <c r="BY93" s="54"/>
      <c r="BZ93" s="55"/>
      <c r="CA93" s="54"/>
      <c r="CB93" s="9"/>
      <c r="CC93" s="8"/>
      <c r="CD93" s="10"/>
      <c r="CE93" s="8"/>
      <c r="CF93" s="54"/>
      <c r="CG93" s="55"/>
      <c r="CH93" s="54"/>
      <c r="CI93" s="9"/>
      <c r="CJ93" s="8"/>
      <c r="CK93" s="10"/>
      <c r="CL93" s="8"/>
      <c r="CM93" s="54"/>
      <c r="CN93" s="55"/>
      <c r="CO93" s="54"/>
      <c r="CP93" s="9"/>
      <c r="CQ93" s="8"/>
      <c r="CR93" s="10"/>
      <c r="CS93" s="8"/>
      <c r="CT93" s="54"/>
      <c r="CU93" s="55"/>
      <c r="CV93" s="54"/>
      <c r="CW93" s="9"/>
      <c r="CX93" s="8"/>
      <c r="CY93" s="10"/>
      <c r="CZ93" s="8"/>
      <c r="DA93" s="54"/>
      <c r="DB93" s="55"/>
      <c r="DC93" s="54"/>
    </row>
    <row r="94" spans="1:107" s="1" customFormat="1" ht="13.5" thickBot="1">
      <c r="A94" s="8"/>
      <c r="B94" s="12"/>
      <c r="C94" s="12"/>
      <c r="D94" s="21">
        <f>SUM(D81:D93)</f>
        <v>60250388</v>
      </c>
      <c r="E94" s="12"/>
      <c r="F94" s="22">
        <f>SUM(F81:F93)</f>
        <v>76573</v>
      </c>
      <c r="G94" s="12"/>
      <c r="H94" s="12"/>
      <c r="I94" s="12"/>
      <c r="J94" s="21">
        <f>SUM(J81:J92)</f>
        <v>42724189.14999995</v>
      </c>
      <c r="K94" s="12"/>
      <c r="L94" s="22">
        <f>SUM(L81:L92)</f>
        <v>61036</v>
      </c>
      <c r="M94" s="12"/>
      <c r="N94" s="53"/>
      <c r="O94" s="31"/>
      <c r="P94" s="53"/>
      <c r="Q94" s="21">
        <f>SUM(Q81:Q92)</f>
        <v>49501846.23000005</v>
      </c>
      <c r="R94" s="12"/>
      <c r="S94" s="22">
        <f>SUM(S81:S92)</f>
        <v>65615</v>
      </c>
      <c r="T94" s="12"/>
      <c r="U94" s="53"/>
      <c r="V94" s="31"/>
      <c r="W94" s="53"/>
      <c r="X94" s="21">
        <f>SUM(X81:X92)</f>
        <v>44330354.319999866</v>
      </c>
      <c r="Y94" s="12"/>
      <c r="Z94" s="22">
        <f>SUM(Z81:Z92)</f>
        <v>57370</v>
      </c>
      <c r="AA94" s="12"/>
      <c r="AB94" s="53"/>
      <c r="AC94" s="31"/>
      <c r="AD94" s="53"/>
      <c r="AE94" s="21">
        <f>SUM(AE81:AE92)</f>
        <v>37385681.28999998</v>
      </c>
      <c r="AF94" s="12"/>
      <c r="AG94" s="22">
        <f>SUM(AG81:AG92)</f>
        <v>49839</v>
      </c>
      <c r="AH94" s="12"/>
      <c r="AI94" s="53"/>
      <c r="AJ94" s="31"/>
      <c r="AK94" s="53"/>
      <c r="AL94" s="21">
        <f>SUM(AL81:AL92)</f>
        <v>34927963.55999997</v>
      </c>
      <c r="AM94" s="12"/>
      <c r="AN94" s="22">
        <f>SUM(AN81:AN92)</f>
        <v>46995</v>
      </c>
      <c r="AO94" s="12"/>
      <c r="AP94" s="53"/>
      <c r="AQ94" s="31"/>
      <c r="AR94" s="53"/>
      <c r="AS94" s="21">
        <f>SUM(AS81:AS92)</f>
        <v>32008122.539999925</v>
      </c>
      <c r="AT94" s="12"/>
      <c r="AU94" s="22">
        <f>SUM(AU81:AU92)</f>
        <v>42109</v>
      </c>
      <c r="AV94" s="12"/>
      <c r="AW94" s="53"/>
      <c r="AX94" s="31"/>
      <c r="AY94" s="53"/>
      <c r="AZ94" s="21">
        <f>SUM(AZ81:AZ92)</f>
        <v>35073192.54999992</v>
      </c>
      <c r="BA94" s="12"/>
      <c r="BB94" s="22">
        <f>SUM(BB81:BB92)</f>
        <v>42964</v>
      </c>
      <c r="BC94" s="12"/>
      <c r="BD94" s="53"/>
      <c r="BE94" s="31"/>
      <c r="BF94" s="53"/>
      <c r="BG94" s="21">
        <f>SUM(BG81:BG92)</f>
        <v>29599477.059999965</v>
      </c>
      <c r="BH94" s="12"/>
      <c r="BI94" s="22">
        <f>SUM(BI81:BI92)</f>
        <v>37325</v>
      </c>
      <c r="BJ94" s="12"/>
      <c r="BK94" s="53"/>
      <c r="BL94" s="31"/>
      <c r="BM94" s="53"/>
      <c r="BN94" s="21">
        <f>SUM(BN81:BN92)</f>
        <v>26064776.78</v>
      </c>
      <c r="BO94" s="12"/>
      <c r="BP94" s="22">
        <f>SUM(BP81:BP92)</f>
        <v>32920</v>
      </c>
      <c r="BQ94" s="12"/>
      <c r="BR94" s="53"/>
      <c r="BS94" s="31"/>
      <c r="BT94" s="53"/>
      <c r="BU94" s="21">
        <f>SUM(BU81:BU92)</f>
        <v>24228213.13000002</v>
      </c>
      <c r="BV94" s="12"/>
      <c r="BW94" s="22">
        <f>SUM(BW81:BW92)</f>
        <v>30629</v>
      </c>
      <c r="BX94" s="12"/>
      <c r="BY94" s="53"/>
      <c r="BZ94" s="31"/>
      <c r="CA94" s="53"/>
      <c r="CB94" s="21">
        <f>SUM(CB81:CB92)</f>
        <v>25416684.009999987</v>
      </c>
      <c r="CC94" s="12"/>
      <c r="CD94" s="22">
        <f>SUM(CD81:CD92)</f>
        <v>30424</v>
      </c>
      <c r="CE94" s="12"/>
      <c r="CF94" s="53"/>
      <c r="CG94" s="31"/>
      <c r="CH94" s="53"/>
      <c r="CI94" s="21">
        <f>SUM(CI81:CI92)</f>
        <v>18747361.95</v>
      </c>
      <c r="CJ94" s="12"/>
      <c r="CK94" s="22">
        <f>SUM(CK81:CK92)</f>
        <v>23790</v>
      </c>
      <c r="CL94" s="12"/>
      <c r="CM94" s="53"/>
      <c r="CN94" s="31"/>
      <c r="CO94" s="53"/>
      <c r="CP94" s="21">
        <f>SUM(CP81:CP92)</f>
        <v>14317781.390000006</v>
      </c>
      <c r="CQ94" s="12"/>
      <c r="CR94" s="22">
        <f>SUM(CR81:CR92)</f>
        <v>18643</v>
      </c>
      <c r="CS94" s="12"/>
      <c r="CT94" s="53"/>
      <c r="CU94" s="31"/>
      <c r="CV94" s="53"/>
      <c r="CW94" s="21">
        <f>SUM(CW81:CW92)</f>
        <v>14663728.229999993</v>
      </c>
      <c r="CX94" s="12"/>
      <c r="CY94" s="22">
        <f>SUM(CY81:CY92)</f>
        <v>17600</v>
      </c>
      <c r="CZ94" s="12"/>
      <c r="DA94" s="53"/>
      <c r="DB94" s="31"/>
      <c r="DC94" s="53"/>
    </row>
    <row r="95" spans="1:107" ht="13.5" thickTop="1">
      <c r="A95" s="12"/>
      <c r="B95" s="8"/>
      <c r="C95" s="8"/>
      <c r="D95" s="9"/>
      <c r="E95" s="8"/>
      <c r="F95" s="10"/>
      <c r="G95" s="8"/>
      <c r="H95" s="8"/>
      <c r="I95" s="8"/>
      <c r="J95" s="9"/>
      <c r="K95" s="8"/>
      <c r="L95" s="10"/>
      <c r="M95" s="8"/>
      <c r="N95" s="54"/>
      <c r="O95" s="55"/>
      <c r="P95" s="54"/>
      <c r="Q95" s="9"/>
      <c r="R95" s="8"/>
      <c r="S95" s="10"/>
      <c r="T95" s="8"/>
      <c r="U95" s="54"/>
      <c r="V95" s="55"/>
      <c r="W95" s="54"/>
      <c r="X95" s="9"/>
      <c r="Y95" s="8"/>
      <c r="Z95" s="10"/>
      <c r="AA95" s="8"/>
      <c r="AB95" s="54"/>
      <c r="AC95" s="55"/>
      <c r="AD95" s="54"/>
      <c r="AE95" s="9"/>
      <c r="AF95" s="8"/>
      <c r="AG95" s="10"/>
      <c r="AH95" s="8"/>
      <c r="AI95" s="54"/>
      <c r="AJ95" s="55"/>
      <c r="AK95" s="54"/>
      <c r="AL95" s="9"/>
      <c r="AM95" s="8"/>
      <c r="AN95" s="10"/>
      <c r="AO95" s="8"/>
      <c r="AP95" s="54"/>
      <c r="AQ95" s="55"/>
      <c r="AR95" s="54"/>
      <c r="AS95" s="9"/>
      <c r="AT95" s="8"/>
      <c r="AU95" s="10"/>
      <c r="AV95" s="8"/>
      <c r="AW95" s="54"/>
      <c r="AX95" s="55"/>
      <c r="AY95" s="54"/>
      <c r="AZ95" s="9"/>
      <c r="BA95" s="8"/>
      <c r="BB95" s="10"/>
      <c r="BC95" s="8"/>
      <c r="BD95" s="54"/>
      <c r="BE95" s="55"/>
      <c r="BF95" s="54"/>
      <c r="BG95" s="9"/>
      <c r="BH95" s="8"/>
      <c r="BI95" s="10"/>
      <c r="BJ95" s="8"/>
      <c r="BK95" s="54"/>
      <c r="BL95" s="55"/>
      <c r="BM95" s="54"/>
      <c r="BN95" s="9"/>
      <c r="BO95" s="8"/>
      <c r="BP95" s="10"/>
      <c r="BQ95" s="8"/>
      <c r="BR95" s="54"/>
      <c r="BS95" s="55"/>
      <c r="BT95" s="54"/>
      <c r="BU95" s="9"/>
      <c r="BV95" s="8"/>
      <c r="BW95" s="10"/>
      <c r="BX95" s="8"/>
      <c r="BY95" s="54"/>
      <c r="BZ95" s="55"/>
      <c r="CA95" s="54"/>
      <c r="CB95" s="9"/>
      <c r="CC95" s="8"/>
      <c r="CD95" s="10"/>
      <c r="CE95" s="8"/>
      <c r="CF95" s="54"/>
      <c r="CG95" s="55"/>
      <c r="CH95" s="54"/>
      <c r="CI95" s="9"/>
      <c r="CJ95" s="8"/>
      <c r="CK95" s="10"/>
      <c r="CL95" s="8"/>
      <c r="CM95" s="54"/>
      <c r="CN95" s="55"/>
      <c r="CO95" s="54"/>
      <c r="CP95" s="9"/>
      <c r="CQ95" s="8"/>
      <c r="CR95" s="10"/>
      <c r="CS95" s="8"/>
      <c r="CT95" s="54"/>
      <c r="CU95" s="55"/>
      <c r="CV95" s="54"/>
      <c r="CW95" s="9"/>
      <c r="CX95" s="8"/>
      <c r="CY95" s="10"/>
      <c r="CZ95" s="8"/>
      <c r="DA95" s="54"/>
      <c r="DB95" s="55"/>
      <c r="DC95" s="54"/>
    </row>
    <row r="96" spans="1:107" ht="12.75">
      <c r="A96" s="8"/>
      <c r="B96" s="8"/>
      <c r="C96" s="8"/>
      <c r="D96" s="9"/>
      <c r="E96" s="8"/>
      <c r="F96" s="10"/>
      <c r="G96" s="8"/>
      <c r="H96" s="8"/>
      <c r="I96" s="8"/>
      <c r="J96" s="8"/>
      <c r="K96" s="8"/>
      <c r="L96" s="8"/>
      <c r="M96" s="9"/>
      <c r="N96" s="8"/>
      <c r="O96" s="10"/>
      <c r="P96" s="8"/>
      <c r="Q96" s="8"/>
      <c r="R96" s="8"/>
      <c r="S96" s="8"/>
      <c r="T96" s="9"/>
      <c r="U96" s="8"/>
      <c r="V96" s="10"/>
      <c r="W96" s="8"/>
      <c r="X96" s="8"/>
      <c r="Y96" s="8"/>
      <c r="Z96" s="8"/>
      <c r="AA96" s="9"/>
      <c r="AB96" s="8"/>
      <c r="AC96" s="10"/>
      <c r="AD96" s="8"/>
      <c r="AE96" s="8"/>
      <c r="AF96" s="8"/>
      <c r="AG96" s="8"/>
      <c r="AH96" s="9"/>
      <c r="AI96" s="8"/>
      <c r="AJ96" s="10"/>
      <c r="AK96" s="8"/>
      <c r="AL96" s="8"/>
      <c r="AM96" s="8"/>
      <c r="AN96" s="8"/>
      <c r="AO96" s="9"/>
      <c r="AP96" s="8"/>
      <c r="AQ96" s="10"/>
      <c r="AR96" s="8"/>
      <c r="AS96" s="8"/>
      <c r="AT96" s="8"/>
      <c r="AU96" s="8"/>
      <c r="AV96" s="9"/>
      <c r="AW96" s="8"/>
      <c r="AX96" s="10"/>
      <c r="AY96" s="8"/>
      <c r="AZ96" s="8"/>
      <c r="BA96" s="8"/>
      <c r="BB96" s="8"/>
      <c r="BC96" s="9"/>
      <c r="BD96" s="8"/>
      <c r="BE96" s="10"/>
      <c r="BF96" s="8"/>
      <c r="BG96" s="8"/>
      <c r="BH96" s="8"/>
      <c r="BI96" s="8"/>
      <c r="BJ96" s="9"/>
      <c r="BK96" s="8"/>
      <c r="BL96" s="10"/>
      <c r="BM96" s="8"/>
      <c r="BN96" s="8"/>
      <c r="BO96" s="8"/>
      <c r="BP96" s="8"/>
      <c r="BQ96" s="9"/>
      <c r="BR96" s="8"/>
      <c r="BS96" s="10"/>
      <c r="BT96" s="8"/>
      <c r="BU96" s="8"/>
      <c r="BV96" s="8"/>
      <c r="BW96" s="8"/>
      <c r="BX96" s="9"/>
      <c r="BY96" s="8"/>
      <c r="BZ96" s="10"/>
      <c r="CA96" s="8"/>
      <c r="CB96" s="8"/>
      <c r="CC96" s="8"/>
      <c r="CD96" s="8"/>
      <c r="CE96" s="9"/>
      <c r="CF96" s="8"/>
      <c r="CG96" s="10"/>
      <c r="CH96" s="8"/>
      <c r="CI96" s="8"/>
      <c r="CJ96" s="8"/>
      <c r="CK96" s="8"/>
      <c r="CL96" s="9"/>
      <c r="CM96" s="8"/>
      <c r="CN96" s="10"/>
      <c r="CO96" s="8"/>
      <c r="CP96" s="8"/>
      <c r="CQ96" s="8"/>
      <c r="CR96" s="8"/>
      <c r="CS96" s="9"/>
      <c r="CT96" s="8"/>
      <c r="CU96" s="10"/>
      <c r="CV96" s="8"/>
      <c r="CW96" s="8"/>
      <c r="CX96" s="8"/>
      <c r="CY96" s="8"/>
      <c r="CZ96" s="9"/>
      <c r="DA96" s="8"/>
      <c r="DB96" s="10"/>
      <c r="DC96" s="8"/>
    </row>
    <row r="97" spans="1:107" ht="12.75">
      <c r="A97" s="19" t="s">
        <v>115</v>
      </c>
      <c r="B97" s="8"/>
      <c r="C97" s="8"/>
      <c r="D97" s="8"/>
      <c r="E97" s="10"/>
      <c r="F97" s="8"/>
      <c r="G97" s="10"/>
      <c r="H97" s="8"/>
      <c r="I97" s="8"/>
      <c r="J97" s="19" t="s">
        <v>115</v>
      </c>
      <c r="K97" s="8"/>
      <c r="L97" s="8"/>
      <c r="M97" s="8"/>
      <c r="N97" s="10"/>
      <c r="O97" s="8"/>
      <c r="P97" s="10"/>
      <c r="Q97" s="19" t="s">
        <v>115</v>
      </c>
      <c r="R97" s="8"/>
      <c r="S97" s="8"/>
      <c r="T97" s="8"/>
      <c r="U97" s="10"/>
      <c r="V97" s="8"/>
      <c r="W97" s="10"/>
      <c r="X97" s="19" t="s">
        <v>115</v>
      </c>
      <c r="Y97" s="8"/>
      <c r="Z97" s="8"/>
      <c r="AA97" s="8"/>
      <c r="AB97" s="10"/>
      <c r="AC97" s="8"/>
      <c r="AD97" s="10"/>
      <c r="AE97" s="19" t="s">
        <v>115</v>
      </c>
      <c r="AF97" s="8"/>
      <c r="AG97" s="8"/>
      <c r="AH97" s="8"/>
      <c r="AI97" s="10"/>
      <c r="AJ97" s="8"/>
      <c r="AK97" s="10"/>
      <c r="AL97" s="19" t="s">
        <v>115</v>
      </c>
      <c r="AM97" s="8"/>
      <c r="AN97" s="8"/>
      <c r="AO97" s="8"/>
      <c r="AP97" s="10"/>
      <c r="AQ97" s="8"/>
      <c r="AR97" s="10"/>
      <c r="AS97" s="19" t="s">
        <v>115</v>
      </c>
      <c r="AT97" s="8"/>
      <c r="AU97" s="8"/>
      <c r="AV97" s="8"/>
      <c r="AW97" s="10"/>
      <c r="AX97" s="8"/>
      <c r="AY97" s="10"/>
      <c r="AZ97" s="19" t="s">
        <v>115</v>
      </c>
      <c r="BA97" s="8"/>
      <c r="BB97" s="8"/>
      <c r="BC97" s="8"/>
      <c r="BD97" s="10"/>
      <c r="BE97" s="8"/>
      <c r="BF97" s="10"/>
      <c r="BG97" s="19" t="s">
        <v>115</v>
      </c>
      <c r="BH97" s="8"/>
      <c r="BI97" s="8"/>
      <c r="BJ97" s="8"/>
      <c r="BK97" s="10"/>
      <c r="BL97" s="8"/>
      <c r="BM97" s="10"/>
      <c r="BN97" s="19" t="s">
        <v>115</v>
      </c>
      <c r="BO97" s="8"/>
      <c r="BP97" s="8"/>
      <c r="BQ97" s="8"/>
      <c r="BR97" s="10"/>
      <c r="BS97" s="8"/>
      <c r="BT97" s="10"/>
      <c r="BU97" s="19" t="s">
        <v>115</v>
      </c>
      <c r="BV97" s="8"/>
      <c r="BW97" s="8"/>
      <c r="BX97" s="8"/>
      <c r="BY97" s="10"/>
      <c r="BZ97" s="8"/>
      <c r="CA97" s="10"/>
      <c r="CB97" s="19" t="s">
        <v>115</v>
      </c>
      <c r="CC97" s="8"/>
      <c r="CD97" s="8"/>
      <c r="CE97" s="8"/>
      <c r="CF97" s="10"/>
      <c r="CG97" s="8"/>
      <c r="CH97" s="10"/>
      <c r="CI97" s="19" t="s">
        <v>115</v>
      </c>
      <c r="CJ97" s="8"/>
      <c r="CK97" s="8"/>
      <c r="CL97" s="8"/>
      <c r="CM97" s="10"/>
      <c r="CN97" s="8"/>
      <c r="CO97" s="10"/>
      <c r="CP97" s="19" t="s">
        <v>115</v>
      </c>
      <c r="CQ97" s="8"/>
      <c r="CR97" s="8"/>
      <c r="CS97" s="8"/>
      <c r="CT97" s="10"/>
      <c r="CU97" s="8"/>
      <c r="CV97" s="10"/>
      <c r="CW97" s="19" t="s">
        <v>115</v>
      </c>
      <c r="CX97" s="8"/>
      <c r="CY97" s="8"/>
      <c r="CZ97" s="8"/>
      <c r="DA97" s="10"/>
      <c r="DB97" s="8"/>
      <c r="DC97" s="10"/>
    </row>
    <row r="98" spans="1:107" ht="12.75">
      <c r="A98" s="19"/>
      <c r="B98" s="8"/>
      <c r="C98" s="8"/>
      <c r="D98" s="8"/>
      <c r="E98" s="10"/>
      <c r="F98" s="8"/>
      <c r="G98" s="10"/>
      <c r="H98" s="8"/>
      <c r="I98" s="8"/>
      <c r="J98" s="19"/>
      <c r="K98" s="8"/>
      <c r="L98" s="8"/>
      <c r="M98" s="8"/>
      <c r="N98" s="10"/>
      <c r="O98" s="8"/>
      <c r="P98" s="10"/>
      <c r="Q98" s="19"/>
      <c r="R98" s="8"/>
      <c r="S98" s="8"/>
      <c r="T98" s="8"/>
      <c r="U98" s="10"/>
      <c r="V98" s="8"/>
      <c r="W98" s="10"/>
      <c r="X98" s="19"/>
      <c r="Y98" s="8"/>
      <c r="Z98" s="8"/>
      <c r="AA98" s="8"/>
      <c r="AB98" s="10"/>
      <c r="AC98" s="8"/>
      <c r="AD98" s="10"/>
      <c r="AE98" s="19"/>
      <c r="AF98" s="8"/>
      <c r="AG98" s="8"/>
      <c r="AH98" s="8"/>
      <c r="AI98" s="10"/>
      <c r="AJ98" s="8"/>
      <c r="AK98" s="10"/>
      <c r="AL98" s="19"/>
      <c r="AM98" s="8"/>
      <c r="AN98" s="8"/>
      <c r="AO98" s="8"/>
      <c r="AP98" s="10"/>
      <c r="AQ98" s="8"/>
      <c r="AR98" s="10"/>
      <c r="AS98" s="19"/>
      <c r="AT98" s="8"/>
      <c r="AU98" s="8"/>
      <c r="AV98" s="8"/>
      <c r="AW98" s="10"/>
      <c r="AX98" s="8"/>
      <c r="AY98" s="10"/>
      <c r="AZ98" s="19"/>
      <c r="BA98" s="8"/>
      <c r="BB98" s="8"/>
      <c r="BC98" s="8"/>
      <c r="BD98" s="10"/>
      <c r="BE98" s="8"/>
      <c r="BF98" s="10"/>
      <c r="BG98" s="19"/>
      <c r="BH98" s="8"/>
      <c r="BI98" s="8"/>
      <c r="BJ98" s="8"/>
      <c r="BK98" s="10"/>
      <c r="BL98" s="8"/>
      <c r="BM98" s="10"/>
      <c r="BN98" s="19"/>
      <c r="BO98" s="8"/>
      <c r="BP98" s="8"/>
      <c r="BQ98" s="8"/>
      <c r="BR98" s="10"/>
      <c r="BS98" s="8"/>
      <c r="BT98" s="10"/>
      <c r="BU98" s="19"/>
      <c r="BV98" s="8"/>
      <c r="BW98" s="8"/>
      <c r="BX98" s="8"/>
      <c r="BY98" s="10"/>
      <c r="BZ98" s="8"/>
      <c r="CA98" s="10"/>
      <c r="CB98" s="19"/>
      <c r="CC98" s="8"/>
      <c r="CD98" s="8"/>
      <c r="CE98" s="8"/>
      <c r="CF98" s="10"/>
      <c r="CG98" s="8"/>
      <c r="CH98" s="10"/>
      <c r="CI98" s="19"/>
      <c r="CJ98" s="8"/>
      <c r="CK98" s="8"/>
      <c r="CL98" s="8"/>
      <c r="CM98" s="10"/>
      <c r="CN98" s="8"/>
      <c r="CO98" s="10"/>
      <c r="CP98" s="19"/>
      <c r="CQ98" s="8"/>
      <c r="CR98" s="8"/>
      <c r="CS98" s="8"/>
      <c r="CT98" s="10"/>
      <c r="CU98" s="8"/>
      <c r="CV98" s="10"/>
      <c r="CW98" s="19"/>
      <c r="CX98" s="8"/>
      <c r="CY98" s="8"/>
      <c r="CZ98" s="8"/>
      <c r="DA98" s="10"/>
      <c r="DB98" s="8"/>
      <c r="DC98" s="10"/>
    </row>
    <row r="99" spans="1:107" s="29" customFormat="1" ht="12.75">
      <c r="A99" s="25"/>
      <c r="B99" s="26"/>
      <c r="C99" s="26"/>
      <c r="D99" s="27" t="s">
        <v>99</v>
      </c>
      <c r="E99" s="26" t="s">
        <v>100</v>
      </c>
      <c r="F99" s="28" t="s">
        <v>101</v>
      </c>
      <c r="G99" s="26" t="s">
        <v>100</v>
      </c>
      <c r="H99" s="25"/>
      <c r="I99" s="25"/>
      <c r="J99" s="27" t="s">
        <v>99</v>
      </c>
      <c r="K99" s="26" t="s">
        <v>100</v>
      </c>
      <c r="L99" s="28" t="s">
        <v>101</v>
      </c>
      <c r="M99" s="26" t="s">
        <v>100</v>
      </c>
      <c r="N99" s="64"/>
      <c r="O99" s="65"/>
      <c r="P99" s="64"/>
      <c r="Q99" s="27" t="s">
        <v>99</v>
      </c>
      <c r="R99" s="26" t="s">
        <v>100</v>
      </c>
      <c r="S99" s="28" t="s">
        <v>101</v>
      </c>
      <c r="T99" s="26" t="s">
        <v>100</v>
      </c>
      <c r="U99" s="64"/>
      <c r="V99" s="65"/>
      <c r="W99" s="64"/>
      <c r="X99" s="27" t="s">
        <v>99</v>
      </c>
      <c r="Y99" s="26" t="s">
        <v>100</v>
      </c>
      <c r="Z99" s="28" t="s">
        <v>101</v>
      </c>
      <c r="AA99" s="26" t="s">
        <v>100</v>
      </c>
      <c r="AB99" s="64"/>
      <c r="AC99" s="65"/>
      <c r="AD99" s="64"/>
      <c r="AE99" s="27" t="s">
        <v>99</v>
      </c>
      <c r="AF99" s="26" t="s">
        <v>100</v>
      </c>
      <c r="AG99" s="28" t="s">
        <v>101</v>
      </c>
      <c r="AH99" s="26" t="s">
        <v>100</v>
      </c>
      <c r="AI99" s="64"/>
      <c r="AJ99" s="65"/>
      <c r="AK99" s="64"/>
      <c r="AL99" s="27" t="s">
        <v>99</v>
      </c>
      <c r="AM99" s="26" t="s">
        <v>100</v>
      </c>
      <c r="AN99" s="28" t="s">
        <v>101</v>
      </c>
      <c r="AO99" s="26" t="s">
        <v>100</v>
      </c>
      <c r="AP99" s="64"/>
      <c r="AQ99" s="65"/>
      <c r="AR99" s="64"/>
      <c r="AS99" s="27" t="s">
        <v>99</v>
      </c>
      <c r="AT99" s="26" t="s">
        <v>100</v>
      </c>
      <c r="AU99" s="28" t="s">
        <v>101</v>
      </c>
      <c r="AV99" s="26" t="s">
        <v>100</v>
      </c>
      <c r="AW99" s="64"/>
      <c r="AX99" s="65"/>
      <c r="AY99" s="64"/>
      <c r="AZ99" s="89" t="s">
        <v>99</v>
      </c>
      <c r="BA99" s="44" t="s">
        <v>100</v>
      </c>
      <c r="BB99" s="88" t="s">
        <v>101</v>
      </c>
      <c r="BC99" s="44" t="s">
        <v>100</v>
      </c>
      <c r="BD99" s="64"/>
      <c r="BE99" s="65"/>
      <c r="BF99" s="64"/>
      <c r="BG99" s="89" t="s">
        <v>99</v>
      </c>
      <c r="BH99" s="44" t="s">
        <v>100</v>
      </c>
      <c r="BI99" s="88" t="s">
        <v>101</v>
      </c>
      <c r="BJ99" s="44" t="s">
        <v>100</v>
      </c>
      <c r="BK99" s="64"/>
      <c r="BL99" s="65"/>
      <c r="BM99" s="64"/>
      <c r="BN99" s="89" t="s">
        <v>99</v>
      </c>
      <c r="BO99" s="44" t="s">
        <v>100</v>
      </c>
      <c r="BP99" s="88" t="s">
        <v>101</v>
      </c>
      <c r="BQ99" s="44" t="s">
        <v>100</v>
      </c>
      <c r="BR99" s="64"/>
      <c r="BS99" s="65"/>
      <c r="BT99" s="64"/>
      <c r="BU99" s="89" t="s">
        <v>99</v>
      </c>
      <c r="BV99" s="44" t="s">
        <v>100</v>
      </c>
      <c r="BW99" s="88" t="s">
        <v>101</v>
      </c>
      <c r="BX99" s="44" t="s">
        <v>100</v>
      </c>
      <c r="BY99" s="64"/>
      <c r="BZ99" s="65"/>
      <c r="CA99" s="64"/>
      <c r="CB99" s="89" t="s">
        <v>99</v>
      </c>
      <c r="CC99" s="44" t="s">
        <v>100</v>
      </c>
      <c r="CD99" s="88" t="s">
        <v>101</v>
      </c>
      <c r="CE99" s="44" t="s">
        <v>100</v>
      </c>
      <c r="CF99" s="64"/>
      <c r="CG99" s="65"/>
      <c r="CH99" s="64"/>
      <c r="CI99" s="89" t="s">
        <v>99</v>
      </c>
      <c r="CJ99" s="44" t="s">
        <v>100</v>
      </c>
      <c r="CK99" s="88" t="s">
        <v>101</v>
      </c>
      <c r="CL99" s="44" t="s">
        <v>100</v>
      </c>
      <c r="CM99" s="64"/>
      <c r="CN99" s="65"/>
      <c r="CO99" s="64"/>
      <c r="CP99" s="89" t="s">
        <v>99</v>
      </c>
      <c r="CQ99" s="44" t="s">
        <v>100</v>
      </c>
      <c r="CR99" s="88" t="s">
        <v>101</v>
      </c>
      <c r="CS99" s="44" t="s">
        <v>100</v>
      </c>
      <c r="CT99" s="64"/>
      <c r="CU99" s="65"/>
      <c r="CV99" s="64"/>
      <c r="CW99" s="89" t="s">
        <v>99</v>
      </c>
      <c r="CX99" s="44" t="s">
        <v>100</v>
      </c>
      <c r="CY99" s="88" t="s">
        <v>101</v>
      </c>
      <c r="CZ99" s="44" t="s">
        <v>100</v>
      </c>
      <c r="DA99" s="64"/>
      <c r="DB99" s="65"/>
      <c r="DC99" s="64"/>
    </row>
    <row r="100" spans="1:107" ht="12.75">
      <c r="A100" s="12"/>
      <c r="B100" s="8"/>
      <c r="C100" s="8"/>
      <c r="D100" s="10"/>
      <c r="E100" s="8"/>
      <c r="F100" s="10"/>
      <c r="G100" s="8"/>
      <c r="H100" s="8"/>
      <c r="I100" s="8"/>
      <c r="J100" s="10"/>
      <c r="K100" s="8"/>
      <c r="L100" s="10"/>
      <c r="M100" s="8"/>
      <c r="N100" s="54"/>
      <c r="O100" s="55"/>
      <c r="P100" s="54"/>
      <c r="Q100" s="10"/>
      <c r="R100" s="8"/>
      <c r="S100" s="10"/>
      <c r="T100" s="8"/>
      <c r="U100" s="54"/>
      <c r="V100" s="55"/>
      <c r="W100" s="54"/>
      <c r="X100" s="10"/>
      <c r="Y100" s="8"/>
      <c r="Z100" s="10"/>
      <c r="AA100" s="8"/>
      <c r="AB100" s="54"/>
      <c r="AC100" s="55"/>
      <c r="AD100" s="54"/>
      <c r="AE100" s="10"/>
      <c r="AF100" s="8"/>
      <c r="AG100" s="10"/>
      <c r="AH100" s="8"/>
      <c r="AI100" s="54"/>
      <c r="AJ100" s="55"/>
      <c r="AK100" s="54"/>
      <c r="AL100" s="10"/>
      <c r="AM100" s="8"/>
      <c r="AN100" s="10"/>
      <c r="AO100" s="8"/>
      <c r="AP100" s="54"/>
      <c r="AQ100" s="55"/>
      <c r="AR100" s="54"/>
      <c r="AS100" s="10"/>
      <c r="AT100" s="8"/>
      <c r="AU100" s="10"/>
      <c r="AV100" s="8"/>
      <c r="AW100" s="54"/>
      <c r="AX100" s="55"/>
      <c r="AY100" s="54"/>
      <c r="AZ100" s="10"/>
      <c r="BA100" s="8"/>
      <c r="BB100" s="10"/>
      <c r="BC100" s="8"/>
      <c r="BD100" s="54"/>
      <c r="BE100" s="55"/>
      <c r="BF100" s="54"/>
      <c r="BG100" s="10"/>
      <c r="BH100" s="8"/>
      <c r="BI100" s="10"/>
      <c r="BJ100" s="8"/>
      <c r="BK100" s="54"/>
      <c r="BL100" s="55"/>
      <c r="BM100" s="54"/>
      <c r="BN100" s="10"/>
      <c r="BO100" s="8"/>
      <c r="BP100" s="10"/>
      <c r="BQ100" s="8"/>
      <c r="BR100" s="54"/>
      <c r="BS100" s="55"/>
      <c r="BT100" s="54"/>
      <c r="BU100" s="10"/>
      <c r="BV100" s="8"/>
      <c r="BW100" s="10"/>
      <c r="BX100" s="8"/>
      <c r="BY100" s="54"/>
      <c r="BZ100" s="55"/>
      <c r="CA100" s="54"/>
      <c r="CB100" s="10"/>
      <c r="CC100" s="8"/>
      <c r="CD100" s="10"/>
      <c r="CE100" s="8"/>
      <c r="CF100" s="54"/>
      <c r="CG100" s="55"/>
      <c r="CH100" s="54"/>
      <c r="CI100" s="10"/>
      <c r="CJ100" s="8"/>
      <c r="CK100" s="10"/>
      <c r="CL100" s="8"/>
      <c r="CM100" s="54"/>
      <c r="CN100" s="55"/>
      <c r="CO100" s="54"/>
      <c r="CP100" s="10"/>
      <c r="CQ100" s="8"/>
      <c r="CR100" s="10"/>
      <c r="CS100" s="8"/>
      <c r="CT100" s="54"/>
      <c r="CU100" s="55"/>
      <c r="CV100" s="54"/>
      <c r="CW100" s="10"/>
      <c r="CX100" s="8"/>
      <c r="CY100" s="10"/>
      <c r="CZ100" s="8"/>
      <c r="DA100" s="54"/>
      <c r="DB100" s="55"/>
      <c r="DC100" s="54"/>
    </row>
    <row r="101" spans="1:107" ht="12.75">
      <c r="A101" s="24">
        <v>1996</v>
      </c>
      <c r="B101" s="8"/>
      <c r="C101" s="8"/>
      <c r="D101" s="9">
        <v>0</v>
      </c>
      <c r="E101" s="14">
        <f aca="true" t="shared" si="20" ref="E101:E106">+D101/$D$111</f>
        <v>0</v>
      </c>
      <c r="F101" s="10">
        <v>0</v>
      </c>
      <c r="G101" s="14">
        <f aca="true" t="shared" si="21" ref="G101:G106">+F101/$F$111</f>
        <v>0</v>
      </c>
      <c r="H101" s="8"/>
      <c r="I101" s="8"/>
      <c r="J101" s="9">
        <v>0</v>
      </c>
      <c r="K101" s="14">
        <f>+J101/J111</f>
        <v>0</v>
      </c>
      <c r="L101" s="10">
        <v>0</v>
      </c>
      <c r="M101" s="14">
        <f>+L101/L111</f>
        <v>0</v>
      </c>
      <c r="N101" s="56"/>
      <c r="O101" s="55"/>
      <c r="P101" s="56"/>
      <c r="Q101" s="9">
        <v>0</v>
      </c>
      <c r="R101" s="14">
        <v>0</v>
      </c>
      <c r="S101" s="10">
        <v>0</v>
      </c>
      <c r="T101" s="14">
        <f aca="true" t="shared" si="22" ref="T101:T106">+S101/$S$111</f>
        <v>0</v>
      </c>
      <c r="U101" s="56"/>
      <c r="V101" s="55"/>
      <c r="W101" s="56"/>
      <c r="X101" s="9">
        <v>0</v>
      </c>
      <c r="Y101" s="14">
        <v>0</v>
      </c>
      <c r="Z101" s="10">
        <v>0</v>
      </c>
      <c r="AA101" s="14">
        <v>0</v>
      </c>
      <c r="AB101" s="56"/>
      <c r="AC101" s="55"/>
      <c r="AD101" s="56"/>
      <c r="AE101" s="9">
        <v>0</v>
      </c>
      <c r="AF101" s="14">
        <v>0</v>
      </c>
      <c r="AG101" s="10">
        <v>0</v>
      </c>
      <c r="AH101" s="14">
        <v>0</v>
      </c>
      <c r="AI101" s="56"/>
      <c r="AJ101" s="55"/>
      <c r="AK101" s="56"/>
      <c r="AL101" s="9">
        <v>0</v>
      </c>
      <c r="AM101" s="14">
        <v>0</v>
      </c>
      <c r="AN101" s="10">
        <v>0</v>
      </c>
      <c r="AO101" s="14">
        <v>0</v>
      </c>
      <c r="AP101" s="56"/>
      <c r="AQ101" s="55"/>
      <c r="AR101" s="56"/>
      <c r="AS101" s="9">
        <v>0</v>
      </c>
      <c r="AT101" s="14">
        <v>0</v>
      </c>
      <c r="AU101" s="10">
        <v>0</v>
      </c>
      <c r="AV101" s="14">
        <v>0</v>
      </c>
      <c r="AW101" s="56"/>
      <c r="AX101" s="55"/>
      <c r="AY101" s="56"/>
      <c r="AZ101" s="9">
        <v>0</v>
      </c>
      <c r="BA101" s="14">
        <v>0</v>
      </c>
      <c r="BB101" s="10">
        <v>0</v>
      </c>
      <c r="BC101" s="14">
        <v>0</v>
      </c>
      <c r="BD101" s="56"/>
      <c r="BE101" s="55"/>
      <c r="BF101" s="56"/>
      <c r="BG101" s="9">
        <v>0</v>
      </c>
      <c r="BH101" s="14">
        <v>0</v>
      </c>
      <c r="BI101" s="10">
        <v>0</v>
      </c>
      <c r="BJ101" s="14">
        <v>0</v>
      </c>
      <c r="BK101" s="56"/>
      <c r="BL101" s="55"/>
      <c r="BM101" s="56"/>
      <c r="BN101" s="9">
        <v>0</v>
      </c>
      <c r="BO101" s="14">
        <v>0</v>
      </c>
      <c r="BP101" s="10">
        <v>0</v>
      </c>
      <c r="BQ101" s="14">
        <v>0</v>
      </c>
      <c r="BR101" s="56"/>
      <c r="BS101" s="55"/>
      <c r="BT101" s="56"/>
      <c r="BU101" s="9">
        <v>0</v>
      </c>
      <c r="BV101" s="14">
        <v>0</v>
      </c>
      <c r="BW101" s="10">
        <v>0</v>
      </c>
      <c r="BX101" s="14">
        <v>0</v>
      </c>
      <c r="BY101" s="56"/>
      <c r="BZ101" s="55"/>
      <c r="CA101" s="56"/>
      <c r="CB101" s="9">
        <v>0</v>
      </c>
      <c r="CC101" s="14">
        <v>0</v>
      </c>
      <c r="CD101" s="10">
        <v>0</v>
      </c>
      <c r="CE101" s="14">
        <v>0</v>
      </c>
      <c r="CF101" s="56"/>
      <c r="CG101" s="55"/>
      <c r="CH101" s="56"/>
      <c r="CI101" s="9">
        <v>0</v>
      </c>
      <c r="CJ101" s="14">
        <v>0</v>
      </c>
      <c r="CK101" s="10">
        <v>0</v>
      </c>
      <c r="CL101" s="14">
        <v>0</v>
      </c>
      <c r="CM101" s="56"/>
      <c r="CN101" s="55"/>
      <c r="CO101" s="56"/>
      <c r="CP101" s="9">
        <v>0</v>
      </c>
      <c r="CQ101" s="14">
        <v>0</v>
      </c>
      <c r="CR101" s="10">
        <v>0</v>
      </c>
      <c r="CS101" s="14">
        <v>0</v>
      </c>
      <c r="CT101" s="56"/>
      <c r="CU101" s="55"/>
      <c r="CV101" s="56"/>
      <c r="CW101" s="9">
        <v>0</v>
      </c>
      <c r="CX101" s="14">
        <v>0</v>
      </c>
      <c r="CY101" s="10">
        <v>0</v>
      </c>
      <c r="CZ101" s="14">
        <v>0</v>
      </c>
      <c r="DA101" s="56"/>
      <c r="DB101" s="55"/>
      <c r="DC101" s="56"/>
    </row>
    <row r="102" spans="1:107" ht="12.75">
      <c r="A102" s="24">
        <v>1997</v>
      </c>
      <c r="B102" s="8"/>
      <c r="C102" s="8"/>
      <c r="D102" s="9">
        <v>22626.17</v>
      </c>
      <c r="E102" s="14">
        <f t="shared" si="20"/>
        <v>0.00037553567289890313</v>
      </c>
      <c r="F102" s="10">
        <v>53</v>
      </c>
      <c r="G102" s="14">
        <f t="shared" si="21"/>
        <v>0.0006921499745341048</v>
      </c>
      <c r="H102" s="8"/>
      <c r="I102" s="8"/>
      <c r="J102" s="9">
        <v>17297.21</v>
      </c>
      <c r="K102" s="14">
        <f>+J102/$J$111</f>
        <v>0.0004048575372436305</v>
      </c>
      <c r="L102" s="10">
        <v>50</v>
      </c>
      <c r="M102" s="14">
        <f>+L102/$L$111</f>
        <v>0.0008191886755357494</v>
      </c>
      <c r="N102" s="56"/>
      <c r="O102" s="55"/>
      <c r="P102" s="56"/>
      <c r="Q102" s="9">
        <v>12996.36</v>
      </c>
      <c r="R102" s="14">
        <v>0.0002625429350577141</v>
      </c>
      <c r="S102" s="10">
        <v>32</v>
      </c>
      <c r="T102" s="14">
        <f t="shared" si="22"/>
        <v>0.0004876933627981407</v>
      </c>
      <c r="U102" s="56"/>
      <c r="V102" s="55"/>
      <c r="W102" s="56"/>
      <c r="X102" s="9">
        <v>11124.06</v>
      </c>
      <c r="Y102" s="14">
        <v>0.0002509355084261353</v>
      </c>
      <c r="Z102" s="10">
        <v>22</v>
      </c>
      <c r="AA102" s="14">
        <v>0.000383475684155482</v>
      </c>
      <c r="AB102" s="56"/>
      <c r="AC102" s="55"/>
      <c r="AD102" s="56"/>
      <c r="AE102" s="9">
        <v>9481.57</v>
      </c>
      <c r="AF102" s="14">
        <v>0.0002536150117594935</v>
      </c>
      <c r="AG102" s="10">
        <v>21</v>
      </c>
      <c r="AH102" s="14">
        <v>0.00042135676879552156</v>
      </c>
      <c r="AI102" s="56"/>
      <c r="AJ102" s="55"/>
      <c r="AK102" s="56"/>
      <c r="AL102" s="9">
        <v>7855.84</v>
      </c>
      <c r="AM102" s="14">
        <v>0.00022491548888915478</v>
      </c>
      <c r="AN102" s="10">
        <v>19</v>
      </c>
      <c r="AO102" s="14">
        <v>0.0004042983296095329</v>
      </c>
      <c r="AP102" s="56"/>
      <c r="AQ102" s="55"/>
      <c r="AR102" s="56"/>
      <c r="AS102" s="9">
        <v>6472.05</v>
      </c>
      <c r="AT102" s="14">
        <v>0.00020220023813992803</v>
      </c>
      <c r="AU102" s="10">
        <v>13</v>
      </c>
      <c r="AV102" s="14">
        <v>0.0003087226008691729</v>
      </c>
      <c r="AW102" s="56"/>
      <c r="AX102" s="55"/>
      <c r="AY102" s="56"/>
      <c r="AZ102" s="9">
        <v>5677.54</v>
      </c>
      <c r="BA102" s="14">
        <v>0.00016187690903547312</v>
      </c>
      <c r="BB102" s="10">
        <v>9</v>
      </c>
      <c r="BC102" s="14">
        <v>0.00020947770226235917</v>
      </c>
      <c r="BD102" s="56"/>
      <c r="BE102" s="55"/>
      <c r="BF102" s="56"/>
      <c r="BG102" s="9">
        <v>6072.28</v>
      </c>
      <c r="BH102" s="14">
        <v>0.00020514821892600007</v>
      </c>
      <c r="BI102" s="10">
        <v>7</v>
      </c>
      <c r="BJ102" s="14">
        <v>0.00018754186202277293</v>
      </c>
      <c r="BK102" s="56"/>
      <c r="BL102" s="55"/>
      <c r="BM102" s="56"/>
      <c r="BN102" s="9">
        <v>6120.91</v>
      </c>
      <c r="BO102" s="14">
        <v>0.0002348345451665897</v>
      </c>
      <c r="BP102" s="10">
        <v>7</v>
      </c>
      <c r="BQ102" s="14">
        <v>0.000212636695018226</v>
      </c>
      <c r="BR102" s="56"/>
      <c r="BS102" s="55"/>
      <c r="BT102" s="56"/>
      <c r="BU102" s="9">
        <v>6171.87</v>
      </c>
      <c r="BV102" s="14">
        <v>0.00025473896761944227</v>
      </c>
      <c r="BW102" s="10">
        <v>7</v>
      </c>
      <c r="BX102" s="14">
        <v>0.00022854157824284176</v>
      </c>
      <c r="BY102" s="56"/>
      <c r="BZ102" s="55"/>
      <c r="CA102" s="56"/>
      <c r="CB102" s="9">
        <v>6225.17</v>
      </c>
      <c r="CC102" s="14">
        <v>0.00024492455418459577</v>
      </c>
      <c r="CD102" s="10">
        <v>7</v>
      </c>
      <c r="CE102" s="14">
        <v>0.00023008151459374179</v>
      </c>
      <c r="CF102" s="56"/>
      <c r="CG102" s="55"/>
      <c r="CH102" s="56"/>
      <c r="CI102" s="9">
        <v>6279.4</v>
      </c>
      <c r="CJ102" s="14">
        <v>0.00033494845924175466</v>
      </c>
      <c r="CK102" s="10">
        <v>7</v>
      </c>
      <c r="CL102" s="14">
        <v>0.0002942412778478352</v>
      </c>
      <c r="CM102" s="56"/>
      <c r="CN102" s="55"/>
      <c r="CO102" s="56"/>
      <c r="CP102" s="9">
        <v>6332.24</v>
      </c>
      <c r="CQ102" s="14">
        <v>0.00044226405107865687</v>
      </c>
      <c r="CR102" s="10">
        <v>7</v>
      </c>
      <c r="CS102" s="14">
        <v>0.00037547604999195407</v>
      </c>
      <c r="CT102" s="56"/>
      <c r="CU102" s="55"/>
      <c r="CV102" s="56"/>
      <c r="CW102" s="9">
        <v>6975.29</v>
      </c>
      <c r="CX102" s="14">
        <v>0.0004756832567129488</v>
      </c>
      <c r="CY102" s="10">
        <v>8</v>
      </c>
      <c r="CZ102" s="14">
        <v>0.00045454545454545455</v>
      </c>
      <c r="DA102" s="56"/>
      <c r="DB102" s="55"/>
      <c r="DC102" s="56"/>
    </row>
    <row r="103" spans="1:107" ht="12.75">
      <c r="A103" s="24">
        <v>1998</v>
      </c>
      <c r="B103" s="8"/>
      <c r="C103" s="8"/>
      <c r="D103" s="9">
        <v>1359120.3</v>
      </c>
      <c r="E103" s="14">
        <f t="shared" si="20"/>
        <v>0.022557868009082365</v>
      </c>
      <c r="F103" s="10">
        <v>3055</v>
      </c>
      <c r="G103" s="14">
        <f t="shared" si="21"/>
        <v>0.039896569286824335</v>
      </c>
      <c r="H103" s="8"/>
      <c r="I103" s="8"/>
      <c r="J103" s="9">
        <v>985190.99</v>
      </c>
      <c r="K103" s="14">
        <f>+J103/$J$111</f>
        <v>0.023059325632631748</v>
      </c>
      <c r="L103" s="10">
        <v>2643</v>
      </c>
      <c r="M103" s="14">
        <f>+L103/$L$111</f>
        <v>0.043302313388819715</v>
      </c>
      <c r="N103" s="56"/>
      <c r="O103" s="55"/>
      <c r="P103" s="56"/>
      <c r="Q103" s="9">
        <v>676254.6899999991</v>
      </c>
      <c r="R103" s="14">
        <v>0.013661201379397334</v>
      </c>
      <c r="S103" s="10">
        <v>2056</v>
      </c>
      <c r="T103" s="14">
        <f t="shared" si="22"/>
        <v>0.03133429855978054</v>
      </c>
      <c r="U103" s="56"/>
      <c r="V103" s="55"/>
      <c r="W103" s="56"/>
      <c r="X103" s="9">
        <v>495004.05</v>
      </c>
      <c r="Y103" s="14">
        <v>0.011166255212552446</v>
      </c>
      <c r="Z103" s="10">
        <v>1298</v>
      </c>
      <c r="AA103" s="14">
        <v>0.022625065365173436</v>
      </c>
      <c r="AB103" s="56"/>
      <c r="AC103" s="55"/>
      <c r="AD103" s="56"/>
      <c r="AE103" s="9">
        <v>372033.45</v>
      </c>
      <c r="AF103" s="14">
        <v>0.009951228308885025</v>
      </c>
      <c r="AG103" s="10">
        <v>1005</v>
      </c>
      <c r="AH103" s="14">
        <v>0.02016493107807139</v>
      </c>
      <c r="AI103" s="56"/>
      <c r="AJ103" s="55"/>
      <c r="AK103" s="56"/>
      <c r="AL103" s="9">
        <v>280598.51</v>
      </c>
      <c r="AM103" s="14">
        <v>0.008033634984701629</v>
      </c>
      <c r="AN103" s="10">
        <v>844</v>
      </c>
      <c r="AO103" s="14">
        <v>0.017959357378444514</v>
      </c>
      <c r="AP103" s="56"/>
      <c r="AQ103" s="55"/>
      <c r="AR103" s="56"/>
      <c r="AS103" s="9">
        <v>212258.25</v>
      </c>
      <c r="AT103" s="14">
        <v>0.006631387071664212</v>
      </c>
      <c r="AU103" s="10">
        <v>669</v>
      </c>
      <c r="AV103" s="14">
        <v>0.015887339998575126</v>
      </c>
      <c r="AW103" s="56"/>
      <c r="AX103" s="55"/>
      <c r="AY103" s="56"/>
      <c r="AZ103" s="9">
        <v>169075.25</v>
      </c>
      <c r="BA103" s="14">
        <v>0.004820640429552215</v>
      </c>
      <c r="BB103" s="10">
        <v>472</v>
      </c>
      <c r="BC103" s="14">
        <v>0.010985941718648171</v>
      </c>
      <c r="BD103" s="56"/>
      <c r="BE103" s="55"/>
      <c r="BF103" s="56"/>
      <c r="BG103" s="9">
        <v>157674.96</v>
      </c>
      <c r="BH103" s="14">
        <v>0.005326950867421844</v>
      </c>
      <c r="BI103" s="10">
        <v>399</v>
      </c>
      <c r="BJ103" s="14">
        <v>0.010689886135298058</v>
      </c>
      <c r="BK103" s="56"/>
      <c r="BL103" s="55"/>
      <c r="BM103" s="56"/>
      <c r="BN103" s="9">
        <v>141357.01</v>
      </c>
      <c r="BO103" s="14">
        <v>0.005423296397015977</v>
      </c>
      <c r="BP103" s="10">
        <v>274</v>
      </c>
      <c r="BQ103" s="14">
        <v>0.008323207776427704</v>
      </c>
      <c r="BR103" s="56"/>
      <c r="BS103" s="55"/>
      <c r="BT103" s="56"/>
      <c r="BU103" s="9">
        <v>132867.8</v>
      </c>
      <c r="BV103" s="14">
        <v>0.005484011523552268</v>
      </c>
      <c r="BW103" s="10">
        <v>258</v>
      </c>
      <c r="BX103" s="14">
        <v>0.00842338959809331</v>
      </c>
      <c r="BY103" s="56"/>
      <c r="BZ103" s="55"/>
      <c r="CA103" s="56"/>
      <c r="CB103" s="9">
        <v>126411.59</v>
      </c>
      <c r="CC103" s="14">
        <v>0.004973567360331671</v>
      </c>
      <c r="CD103" s="10">
        <v>237</v>
      </c>
      <c r="CE103" s="14">
        <v>0.007789902708388114</v>
      </c>
      <c r="CF103" s="56"/>
      <c r="CG103" s="55"/>
      <c r="CH103" s="56"/>
      <c r="CI103" s="9">
        <v>127314.55</v>
      </c>
      <c r="CJ103" s="14">
        <v>0.006791064808987698</v>
      </c>
      <c r="CK103" s="10">
        <v>229</v>
      </c>
      <c r="CL103" s="14">
        <v>0.009625893232450609</v>
      </c>
      <c r="CM103" s="56"/>
      <c r="CN103" s="55"/>
      <c r="CO103" s="56"/>
      <c r="CP103" s="9">
        <v>127365.32</v>
      </c>
      <c r="CQ103" s="14">
        <v>0.00889560446068524</v>
      </c>
      <c r="CR103" s="10">
        <v>227</v>
      </c>
      <c r="CS103" s="14">
        <v>0.012176151906881939</v>
      </c>
      <c r="CT103" s="56"/>
      <c r="CU103" s="55"/>
      <c r="CV103" s="56"/>
      <c r="CW103" s="9">
        <v>126538.37</v>
      </c>
      <c r="CX103" s="14">
        <v>0.008629345007985062</v>
      </c>
      <c r="CY103" s="10">
        <v>218</v>
      </c>
      <c r="CZ103" s="14">
        <v>0.012386363636363636</v>
      </c>
      <c r="DA103" s="56"/>
      <c r="DB103" s="55"/>
      <c r="DC103" s="56"/>
    </row>
    <row r="104" spans="1:107" ht="12.75">
      <c r="A104" s="24">
        <v>1999</v>
      </c>
      <c r="B104" s="8"/>
      <c r="C104" s="8"/>
      <c r="D104" s="9">
        <v>8653448.92</v>
      </c>
      <c r="E104" s="14">
        <f t="shared" si="20"/>
        <v>0.14362478329600134</v>
      </c>
      <c r="F104" s="10">
        <v>13452</v>
      </c>
      <c r="G104" s="14">
        <f t="shared" si="21"/>
        <v>0.17567549919684483</v>
      </c>
      <c r="H104" s="8"/>
      <c r="I104" s="8"/>
      <c r="J104" s="9">
        <v>6778557.730000001</v>
      </c>
      <c r="K104" s="14">
        <f>+J104/$J$111</f>
        <v>0.15865854601011234</v>
      </c>
      <c r="L104" s="10">
        <v>11191</v>
      </c>
      <c r="M104" s="14">
        <f>+L104/$L$111</f>
        <v>0.18335080935841144</v>
      </c>
      <c r="N104" s="56"/>
      <c r="O104" s="55"/>
      <c r="P104" s="56"/>
      <c r="Q104" s="9">
        <v>5305615.720000015</v>
      </c>
      <c r="R104" s="14">
        <v>0.1071801583995173</v>
      </c>
      <c r="S104" s="10">
        <v>8993</v>
      </c>
      <c r="T104" s="14">
        <f t="shared" si="22"/>
        <v>0.13705707536386497</v>
      </c>
      <c r="U104" s="56"/>
      <c r="V104" s="55"/>
      <c r="W104" s="56"/>
      <c r="X104" s="9">
        <v>4281718.789999992</v>
      </c>
      <c r="Y104" s="14">
        <v>0.09658661329643896</v>
      </c>
      <c r="Z104" s="10">
        <v>7336</v>
      </c>
      <c r="AA104" s="14">
        <v>0.12787170995293706</v>
      </c>
      <c r="AB104" s="56"/>
      <c r="AC104" s="55"/>
      <c r="AD104" s="56"/>
      <c r="AE104" s="9">
        <v>3480212.469999983</v>
      </c>
      <c r="AF104" s="14">
        <v>0.09308944895250276</v>
      </c>
      <c r="AG104" s="10">
        <v>6291</v>
      </c>
      <c r="AH104" s="14">
        <v>0.12622644916631554</v>
      </c>
      <c r="AI104" s="56"/>
      <c r="AJ104" s="55"/>
      <c r="AK104" s="56"/>
      <c r="AL104" s="9">
        <v>2790630.48</v>
      </c>
      <c r="AM104" s="14">
        <v>0.07989674162383369</v>
      </c>
      <c r="AN104" s="10">
        <v>5315</v>
      </c>
      <c r="AO104" s="14">
        <v>0.11309713799340355</v>
      </c>
      <c r="AP104" s="56"/>
      <c r="AQ104" s="55"/>
      <c r="AR104" s="56"/>
      <c r="AS104" s="9">
        <v>2258472.43</v>
      </c>
      <c r="AT104" s="14">
        <v>0.07055935340092588</v>
      </c>
      <c r="AU104" s="10">
        <v>4049</v>
      </c>
      <c r="AV104" s="14">
        <v>0.09615521622456007</v>
      </c>
      <c r="AW104" s="56"/>
      <c r="AX104" s="55"/>
      <c r="AY104" s="56"/>
      <c r="AZ104" s="9">
        <v>1920210.27</v>
      </c>
      <c r="BA104" s="14">
        <v>0.05474865931473349</v>
      </c>
      <c r="BB104" s="10">
        <v>3097</v>
      </c>
      <c r="BC104" s="14">
        <v>0.07208360487850293</v>
      </c>
      <c r="BD104" s="56"/>
      <c r="BE104" s="55"/>
      <c r="BF104" s="56"/>
      <c r="BG104" s="9">
        <v>1754405.92</v>
      </c>
      <c r="BH104" s="14">
        <v>0.059271517413760556</v>
      </c>
      <c r="BI104" s="10">
        <v>2492</v>
      </c>
      <c r="BJ104" s="14">
        <v>0.06676490288010717</v>
      </c>
      <c r="BK104" s="56"/>
      <c r="BL104" s="55"/>
      <c r="BM104" s="56"/>
      <c r="BN104" s="9">
        <v>1591910.83</v>
      </c>
      <c r="BO104" s="14">
        <v>0.06107517602918819</v>
      </c>
      <c r="BP104" s="10">
        <v>2243</v>
      </c>
      <c r="BQ104" s="14">
        <v>0.068134872417983</v>
      </c>
      <c r="BR104" s="56"/>
      <c r="BS104" s="55"/>
      <c r="BT104" s="56"/>
      <c r="BU104" s="9">
        <v>1466369.93</v>
      </c>
      <c r="BV104" s="14">
        <v>0.06052323884274849</v>
      </c>
      <c r="BW104" s="10">
        <v>1971</v>
      </c>
      <c r="BX104" s="14">
        <v>0.06435077867380587</v>
      </c>
      <c r="BY104" s="56"/>
      <c r="BZ104" s="55"/>
      <c r="CA104" s="56"/>
      <c r="CB104" s="9">
        <v>1376695.41</v>
      </c>
      <c r="CC104" s="14">
        <v>0.054165028351391115</v>
      </c>
      <c r="CD104" s="10">
        <v>1830</v>
      </c>
      <c r="CE104" s="14">
        <v>0.060149881672363924</v>
      </c>
      <c r="CF104" s="56"/>
      <c r="CG104" s="55"/>
      <c r="CH104" s="56"/>
      <c r="CI104" s="9">
        <v>1300721.77</v>
      </c>
      <c r="CJ104" s="14">
        <v>0.06938158944544183</v>
      </c>
      <c r="CK104" s="10">
        <v>1684</v>
      </c>
      <c r="CL104" s="14">
        <v>0.07078604455653636</v>
      </c>
      <c r="CM104" s="56"/>
      <c r="CN104" s="55"/>
      <c r="CO104" s="56"/>
      <c r="CP104" s="9">
        <v>1247461.52</v>
      </c>
      <c r="CQ104" s="14">
        <v>0.08712673325709998</v>
      </c>
      <c r="CR104" s="10">
        <v>1532</v>
      </c>
      <c r="CS104" s="14">
        <v>0.08217561551252481</v>
      </c>
      <c r="CT104" s="56"/>
      <c r="CU104" s="55"/>
      <c r="CV104" s="56"/>
      <c r="CW104" s="9">
        <v>1213624.67</v>
      </c>
      <c r="CX104" s="14">
        <v>0.08276371813254753</v>
      </c>
      <c r="CY104" s="10">
        <v>1308</v>
      </c>
      <c r="CZ104" s="14">
        <v>0.07431818181818182</v>
      </c>
      <c r="DA104" s="56"/>
      <c r="DB104" s="55"/>
      <c r="DC104" s="56"/>
    </row>
    <row r="105" spans="1:107" ht="12.75">
      <c r="A105" s="24">
        <v>2000</v>
      </c>
      <c r="B105" s="8"/>
      <c r="C105" s="8"/>
      <c r="D105" s="9">
        <v>26771831.24</v>
      </c>
      <c r="E105" s="14">
        <f t="shared" si="20"/>
        <v>0.44434288522756066</v>
      </c>
      <c r="F105" s="10">
        <v>36875</v>
      </c>
      <c r="G105" s="14">
        <f t="shared" si="21"/>
        <v>0.4815666096404738</v>
      </c>
      <c r="H105" s="8"/>
      <c r="I105" s="8"/>
      <c r="J105" s="9">
        <v>18257905.820000075</v>
      </c>
      <c r="K105" s="14">
        <f>+J105/$J$111</f>
        <v>0.427343530286756</v>
      </c>
      <c r="L105" s="10">
        <v>26813</v>
      </c>
      <c r="M105" s="14">
        <f>+L105/$L$111</f>
        <v>0.439298119142801</v>
      </c>
      <c r="N105" s="56"/>
      <c r="O105" s="55"/>
      <c r="P105" s="56"/>
      <c r="Q105" s="9">
        <v>13416471.100000035</v>
      </c>
      <c r="R105" s="14">
        <v>0.27102971145082216</v>
      </c>
      <c r="S105" s="10">
        <v>19311</v>
      </c>
      <c r="T105" s="14">
        <f t="shared" si="22"/>
        <v>0.29430770403109047</v>
      </c>
      <c r="U105" s="56"/>
      <c r="V105" s="55"/>
      <c r="W105" s="56"/>
      <c r="X105" s="9">
        <v>10335383.190000057</v>
      </c>
      <c r="Y105" s="14">
        <v>0.2331446104715002</v>
      </c>
      <c r="Z105" s="10">
        <v>15496</v>
      </c>
      <c r="AA105" s="14">
        <v>0.2701063273487886</v>
      </c>
      <c r="AB105" s="56"/>
      <c r="AC105" s="55"/>
      <c r="AD105" s="56"/>
      <c r="AE105" s="9">
        <v>7971014.120000005</v>
      </c>
      <c r="AF105" s="14">
        <v>0.21321034805194605</v>
      </c>
      <c r="AG105" s="10">
        <v>12625</v>
      </c>
      <c r="AH105" s="14">
        <v>0.25331567647826</v>
      </c>
      <c r="AI105" s="56"/>
      <c r="AJ105" s="55"/>
      <c r="AK105" s="56"/>
      <c r="AL105" s="9">
        <v>6238891.520000045</v>
      </c>
      <c r="AM105" s="14">
        <v>0.17862167971180828</v>
      </c>
      <c r="AN105" s="10">
        <v>10090</v>
      </c>
      <c r="AO105" s="14">
        <v>0.2147036918821151</v>
      </c>
      <c r="AP105" s="56"/>
      <c r="AQ105" s="55"/>
      <c r="AR105" s="56"/>
      <c r="AS105" s="9">
        <v>4983230.449999985</v>
      </c>
      <c r="AT105" s="14">
        <v>0.15568643377231908</v>
      </c>
      <c r="AU105" s="10">
        <v>8133</v>
      </c>
      <c r="AV105" s="14">
        <v>0.19314160868222946</v>
      </c>
      <c r="AW105" s="56"/>
      <c r="AX105" s="55"/>
      <c r="AY105" s="56"/>
      <c r="AZ105" s="9">
        <v>4063328.92</v>
      </c>
      <c r="BA105" s="14">
        <v>0.11585283872311725</v>
      </c>
      <c r="BB105" s="10">
        <v>6526</v>
      </c>
      <c r="BC105" s="14">
        <v>0.1518946094404618</v>
      </c>
      <c r="BD105" s="56"/>
      <c r="BE105" s="55"/>
      <c r="BF105" s="56"/>
      <c r="BG105" s="9">
        <v>3461891.41</v>
      </c>
      <c r="BH105" s="14">
        <v>0.11695785716019673</v>
      </c>
      <c r="BI105" s="10">
        <v>5678</v>
      </c>
      <c r="BJ105" s="14">
        <v>0.15212324179504352</v>
      </c>
      <c r="BK105" s="56"/>
      <c r="BL105" s="55"/>
      <c r="BM105" s="56"/>
      <c r="BN105" s="9">
        <v>2950813</v>
      </c>
      <c r="BO105" s="14">
        <v>0.113210752768242</v>
      </c>
      <c r="BP105" s="10">
        <v>4714</v>
      </c>
      <c r="BQ105" s="14">
        <v>0.14319562575941677</v>
      </c>
      <c r="BR105" s="56"/>
      <c r="BS105" s="55"/>
      <c r="BT105" s="56"/>
      <c r="BU105" s="9">
        <v>2557998.570000009</v>
      </c>
      <c r="BV105" s="14">
        <v>0.10557933250276043</v>
      </c>
      <c r="BW105" s="10">
        <v>3842</v>
      </c>
      <c r="BX105" s="14">
        <v>0.12543667765842828</v>
      </c>
      <c r="BY105" s="56"/>
      <c r="BZ105" s="55"/>
      <c r="CA105" s="56"/>
      <c r="CB105" s="9">
        <v>2286534.65</v>
      </c>
      <c r="CC105" s="14">
        <v>0.08996195762989297</v>
      </c>
      <c r="CD105" s="10">
        <v>3242</v>
      </c>
      <c r="CE105" s="14">
        <v>0.10656061004470155</v>
      </c>
      <c r="CF105" s="56"/>
      <c r="CG105" s="55"/>
      <c r="CH105" s="56"/>
      <c r="CI105" s="9">
        <v>2088382.15</v>
      </c>
      <c r="CJ105" s="14">
        <v>0.11139605431259104</v>
      </c>
      <c r="CK105" s="10">
        <v>2826</v>
      </c>
      <c r="CL105" s="14">
        <v>0.11878940731399748</v>
      </c>
      <c r="CM105" s="56"/>
      <c r="CN105" s="55"/>
      <c r="CO105" s="56"/>
      <c r="CP105" s="9">
        <v>1936330.71</v>
      </c>
      <c r="CQ105" s="14">
        <v>0.1352395777848933</v>
      </c>
      <c r="CR105" s="10">
        <v>2570</v>
      </c>
      <c r="CS105" s="14">
        <v>0.1378533497827603</v>
      </c>
      <c r="CT105" s="56"/>
      <c r="CU105" s="55"/>
      <c r="CV105" s="56"/>
      <c r="CW105" s="9">
        <v>1793998.95</v>
      </c>
      <c r="CX105" s="14">
        <v>0.1223426213212082</v>
      </c>
      <c r="CY105" s="10">
        <v>2366</v>
      </c>
      <c r="CZ105" s="14">
        <v>0.13443181818181818</v>
      </c>
      <c r="DA105" s="56"/>
      <c r="DB105" s="55"/>
      <c r="DC105" s="56"/>
    </row>
    <row r="106" spans="1:107" ht="12.75">
      <c r="A106" s="24">
        <v>2001</v>
      </c>
      <c r="B106" s="8"/>
      <c r="C106" s="8"/>
      <c r="D106" s="9">
        <v>23443361.37</v>
      </c>
      <c r="E106" s="14">
        <f t="shared" si="20"/>
        <v>0.3890989277944567</v>
      </c>
      <c r="F106" s="10">
        <v>23138</v>
      </c>
      <c r="G106" s="14">
        <f t="shared" si="21"/>
        <v>0.3021691719013229</v>
      </c>
      <c r="H106" s="8"/>
      <c r="I106" s="8"/>
      <c r="J106" s="9">
        <v>16685237.39999983</v>
      </c>
      <c r="K106" s="14">
        <f>+J106/$J$111</f>
        <v>0.3905337405332564</v>
      </c>
      <c r="L106" s="10">
        <v>20339</v>
      </c>
      <c r="M106" s="14">
        <f>+L106/$L$111</f>
        <v>0.33322956943443216</v>
      </c>
      <c r="N106" s="56"/>
      <c r="O106" s="55"/>
      <c r="P106" s="56"/>
      <c r="Q106" s="9">
        <v>30090508.36000057</v>
      </c>
      <c r="R106" s="14">
        <v>0.6078663858352056</v>
      </c>
      <c r="S106" s="10">
        <v>35223</v>
      </c>
      <c r="T106" s="14">
        <f t="shared" si="22"/>
        <v>0.536813228682466</v>
      </c>
      <c r="U106" s="56"/>
      <c r="V106" s="55"/>
      <c r="W106" s="56"/>
      <c r="X106" s="9">
        <v>29207124.230000254</v>
      </c>
      <c r="Y106" s="14">
        <v>0.6588515855110822</v>
      </c>
      <c r="Z106" s="10">
        <v>33218</v>
      </c>
      <c r="AA106" s="14">
        <v>0.5790134216489454</v>
      </c>
      <c r="AB106" s="56"/>
      <c r="AC106" s="55"/>
      <c r="AD106" s="56"/>
      <c r="AE106" s="9">
        <v>21333864.819999903</v>
      </c>
      <c r="AF106" s="14">
        <v>0.5706426654235238</v>
      </c>
      <c r="AG106" s="10">
        <v>25565</v>
      </c>
      <c r="AH106" s="14">
        <v>0.5129517044884528</v>
      </c>
      <c r="AI106" s="56"/>
      <c r="AJ106" s="55"/>
      <c r="AK106" s="56"/>
      <c r="AL106" s="9">
        <v>15332549.56000006</v>
      </c>
      <c r="AM106" s="14">
        <v>0.4389763386480132</v>
      </c>
      <c r="AN106" s="10">
        <v>19452</v>
      </c>
      <c r="AO106" s="14">
        <v>0.41391637408234916</v>
      </c>
      <c r="AP106" s="56"/>
      <c r="AQ106" s="55"/>
      <c r="AR106" s="56"/>
      <c r="AS106" s="9">
        <v>11390999.14000001</v>
      </c>
      <c r="AT106" s="14">
        <v>0.3558783907355038</v>
      </c>
      <c r="AU106" s="10">
        <v>14356</v>
      </c>
      <c r="AV106" s="14">
        <v>0.34092474292906505</v>
      </c>
      <c r="AW106" s="56"/>
      <c r="AX106" s="55"/>
      <c r="AY106" s="56"/>
      <c r="AZ106" s="9">
        <v>8723748.499999998</v>
      </c>
      <c r="BA106" s="14">
        <v>0.2487298094567092</v>
      </c>
      <c r="BB106" s="10">
        <v>11377</v>
      </c>
      <c r="BC106" s="14">
        <v>0.26480309095987337</v>
      </c>
      <c r="BD106" s="56"/>
      <c r="BE106" s="55"/>
      <c r="BF106" s="56"/>
      <c r="BG106" s="9">
        <v>6874271.280000009</v>
      </c>
      <c r="BH106" s="14">
        <v>0.23224299760652614</v>
      </c>
      <c r="BI106" s="10">
        <v>9313</v>
      </c>
      <c r="BJ106" s="14">
        <v>0.24951105157401204</v>
      </c>
      <c r="BK106" s="56"/>
      <c r="BL106" s="55"/>
      <c r="BM106" s="56"/>
      <c r="BN106" s="9">
        <v>5460252.109999997</v>
      </c>
      <c r="BO106" s="14">
        <v>0.20948777563250576</v>
      </c>
      <c r="BP106" s="10">
        <v>7467</v>
      </c>
      <c r="BQ106" s="14">
        <v>0.22682260024301337</v>
      </c>
      <c r="BR106" s="56"/>
      <c r="BS106" s="55"/>
      <c r="BT106" s="56"/>
      <c r="BU106" s="9">
        <v>4384527.719999989</v>
      </c>
      <c r="BV106" s="14">
        <v>0.1809678533234861</v>
      </c>
      <c r="BW106" s="10">
        <v>6528</v>
      </c>
      <c r="BX106" s="14">
        <v>0.21313134610989584</v>
      </c>
      <c r="BY106" s="56"/>
      <c r="BZ106" s="55"/>
      <c r="CA106" s="56"/>
      <c r="CB106" s="9">
        <v>3586788.719999992</v>
      </c>
      <c r="CC106" s="14">
        <v>0.1411194599023537</v>
      </c>
      <c r="CD106" s="10">
        <v>5410</v>
      </c>
      <c r="CE106" s="14">
        <v>0.1778201419931633</v>
      </c>
      <c r="CF106" s="56"/>
      <c r="CG106" s="55"/>
      <c r="CH106" s="56"/>
      <c r="CI106" s="9">
        <v>2961791.36</v>
      </c>
      <c r="CJ106" s="14">
        <v>0.15798443364454282</v>
      </c>
      <c r="CK106" s="10">
        <v>4432</v>
      </c>
      <c r="CL106" s="14">
        <v>0.18629676334594367</v>
      </c>
      <c r="CM106" s="56"/>
      <c r="CN106" s="55"/>
      <c r="CO106" s="56"/>
      <c r="CP106" s="9">
        <v>2508529.15</v>
      </c>
      <c r="CQ106" s="14">
        <v>0.17520376109053018</v>
      </c>
      <c r="CR106" s="10">
        <v>3601</v>
      </c>
      <c r="CS106" s="14">
        <v>0.1931556080030038</v>
      </c>
      <c r="CT106" s="56"/>
      <c r="CU106" s="55"/>
      <c r="CV106" s="56"/>
      <c r="CW106" s="9">
        <v>2146524.76</v>
      </c>
      <c r="CX106" s="14">
        <v>0.1463832885015219</v>
      </c>
      <c r="CY106" s="10">
        <v>3017</v>
      </c>
      <c r="CZ106" s="14">
        <v>0.17142045454545454</v>
      </c>
      <c r="DA106" s="56"/>
      <c r="DB106" s="55"/>
      <c r="DC106" s="56"/>
    </row>
    <row r="107" spans="1:107" ht="12.75">
      <c r="A107" s="24">
        <v>2002</v>
      </c>
      <c r="B107" s="8"/>
      <c r="C107" s="8"/>
      <c r="D107" s="9"/>
      <c r="E107" s="14"/>
      <c r="F107" s="10"/>
      <c r="G107" s="14"/>
      <c r="H107" s="8"/>
      <c r="I107" s="8"/>
      <c r="J107" s="9"/>
      <c r="K107" s="14"/>
      <c r="L107" s="10"/>
      <c r="M107" s="14"/>
      <c r="N107" s="56"/>
      <c r="O107" s="55"/>
      <c r="P107" s="56"/>
      <c r="Q107" s="9"/>
      <c r="R107" s="14"/>
      <c r="S107" s="10"/>
      <c r="T107" s="14"/>
      <c r="U107" s="56"/>
      <c r="V107" s="55"/>
      <c r="W107" s="56"/>
      <c r="X107" s="9"/>
      <c r="Y107" s="14"/>
      <c r="Z107" s="10"/>
      <c r="AA107" s="14"/>
      <c r="AB107" s="56"/>
      <c r="AC107" s="55"/>
      <c r="AD107" s="56"/>
      <c r="AE107" s="9">
        <v>4219074.86</v>
      </c>
      <c r="AF107" s="14">
        <v>0.11285269425138282</v>
      </c>
      <c r="AG107" s="10">
        <v>4332</v>
      </c>
      <c r="AH107" s="14">
        <v>0.08691988202010474</v>
      </c>
      <c r="AI107" s="56"/>
      <c r="AJ107" s="55"/>
      <c r="AK107" s="56"/>
      <c r="AL107" s="9">
        <v>10277437.64999997</v>
      </c>
      <c r="AM107" s="14">
        <v>0.29424668954275407</v>
      </c>
      <c r="AN107" s="10">
        <v>11275</v>
      </c>
      <c r="AO107" s="14">
        <v>0.2399191403340781</v>
      </c>
      <c r="AP107" s="56"/>
      <c r="AQ107" s="55"/>
      <c r="AR107" s="56"/>
      <c r="AS107" s="9">
        <v>13156690.220000014</v>
      </c>
      <c r="AT107" s="14">
        <v>0.41104223478144714</v>
      </c>
      <c r="AU107" s="10">
        <v>14889</v>
      </c>
      <c r="AV107" s="14">
        <v>0.3535823695647011</v>
      </c>
      <c r="AW107" s="56"/>
      <c r="AX107" s="55"/>
      <c r="AY107" s="56"/>
      <c r="AZ107" s="9">
        <v>18789124.9400001</v>
      </c>
      <c r="BA107" s="14">
        <v>0.535711852099419</v>
      </c>
      <c r="BB107" s="10">
        <v>20556</v>
      </c>
      <c r="BC107" s="14">
        <v>0.47844707196722835</v>
      </c>
      <c r="BD107" s="56"/>
      <c r="BE107" s="55"/>
      <c r="BF107" s="56"/>
      <c r="BG107" s="9">
        <v>12632020.629999992</v>
      </c>
      <c r="BH107" s="14">
        <v>0.42676499332721607</v>
      </c>
      <c r="BI107" s="10">
        <v>14768</v>
      </c>
      <c r="BJ107" s="14">
        <v>0.39565974547890154</v>
      </c>
      <c r="BK107" s="56"/>
      <c r="BL107" s="55"/>
      <c r="BM107" s="56"/>
      <c r="BN107" s="9">
        <v>8777432.470000071</v>
      </c>
      <c r="BO107" s="14">
        <v>0.3367545613026368</v>
      </c>
      <c r="BP107" s="10">
        <v>10668</v>
      </c>
      <c r="BQ107" s="14">
        <v>0.32405832320777644</v>
      </c>
      <c r="BR107" s="56"/>
      <c r="BS107" s="55"/>
      <c r="BT107" s="56"/>
      <c r="BU107" s="9">
        <v>6421909.13999998</v>
      </c>
      <c r="BV107" s="14">
        <v>0.26505913191130975</v>
      </c>
      <c r="BW107" s="10">
        <v>7619</v>
      </c>
      <c r="BX107" s="14">
        <v>0.24875118351888734</v>
      </c>
      <c r="BY107" s="56"/>
      <c r="BZ107" s="55"/>
      <c r="CA107" s="56"/>
      <c r="CB107" s="9">
        <v>4983730.03</v>
      </c>
      <c r="CC107" s="14">
        <v>0.19608104771020443</v>
      </c>
      <c r="CD107" s="10">
        <v>6087</v>
      </c>
      <c r="CE107" s="14">
        <v>0.20007231133315803</v>
      </c>
      <c r="CF107" s="56"/>
      <c r="CG107" s="55"/>
      <c r="CH107" s="56"/>
      <c r="CI107" s="9">
        <v>3919006.13</v>
      </c>
      <c r="CJ107" s="14">
        <v>0.20904307179069528</v>
      </c>
      <c r="CK107" s="10">
        <v>5047</v>
      </c>
      <c r="CL107" s="14">
        <v>0.2121479613282892</v>
      </c>
      <c r="CM107" s="56"/>
      <c r="CN107" s="55"/>
      <c r="CO107" s="56"/>
      <c r="CP107" s="9">
        <v>3147327.9200000116</v>
      </c>
      <c r="CQ107" s="14">
        <v>0.21981952610326963</v>
      </c>
      <c r="CR107" s="10">
        <v>3980</v>
      </c>
      <c r="CS107" s="14">
        <v>0.21348495413828247</v>
      </c>
      <c r="CT107" s="56"/>
      <c r="CU107" s="55"/>
      <c r="CV107" s="56"/>
      <c r="CW107" s="9">
        <v>2590270.64</v>
      </c>
      <c r="CX107" s="14">
        <v>0.17664475223297313</v>
      </c>
      <c r="CY107" s="10">
        <v>3386</v>
      </c>
      <c r="CZ107" s="14">
        <v>0.19238636363636363</v>
      </c>
      <c r="DA107" s="56"/>
      <c r="DB107" s="55"/>
      <c r="DC107" s="56"/>
    </row>
    <row r="108" spans="1:107" ht="12.75">
      <c r="A108" s="24">
        <v>2003</v>
      </c>
      <c r="B108" s="8"/>
      <c r="C108" s="8"/>
      <c r="D108" s="9"/>
      <c r="E108" s="14"/>
      <c r="F108" s="10"/>
      <c r="G108" s="14"/>
      <c r="H108" s="8"/>
      <c r="I108" s="8"/>
      <c r="J108" s="9"/>
      <c r="K108" s="14"/>
      <c r="L108" s="10"/>
      <c r="M108" s="14"/>
      <c r="N108" s="56"/>
      <c r="O108" s="55"/>
      <c r="P108" s="56"/>
      <c r="Q108" s="9"/>
      <c r="R108" s="14"/>
      <c r="S108" s="10"/>
      <c r="T108" s="14"/>
      <c r="U108" s="56"/>
      <c r="V108" s="55"/>
      <c r="W108" s="56"/>
      <c r="X108" s="9"/>
      <c r="Y108" s="14"/>
      <c r="Z108" s="10"/>
      <c r="AA108" s="14"/>
      <c r="AB108" s="56"/>
      <c r="AC108" s="55"/>
      <c r="AD108" s="56"/>
      <c r="AE108" s="9"/>
      <c r="AF108" s="14"/>
      <c r="AG108" s="10"/>
      <c r="AH108" s="14"/>
      <c r="AI108" s="56"/>
      <c r="AJ108" s="55"/>
      <c r="AK108" s="56"/>
      <c r="AL108" s="9"/>
      <c r="AM108" s="14"/>
      <c r="AN108" s="10"/>
      <c r="AO108" s="14"/>
      <c r="AP108" s="56"/>
      <c r="AQ108" s="55"/>
      <c r="AR108" s="56"/>
      <c r="AS108" s="9"/>
      <c r="AT108" s="14"/>
      <c r="AU108" s="10"/>
      <c r="AV108" s="14"/>
      <c r="AW108" s="56"/>
      <c r="AX108" s="55"/>
      <c r="AY108" s="56"/>
      <c r="AZ108" s="9">
        <v>1402027.13</v>
      </c>
      <c r="BA108" s="14">
        <v>0.039974323067433315</v>
      </c>
      <c r="BB108" s="10">
        <v>927</v>
      </c>
      <c r="BC108" s="14">
        <v>0.021576203333022997</v>
      </c>
      <c r="BD108" s="56"/>
      <c r="BE108" s="55"/>
      <c r="BF108" s="56"/>
      <c r="BG108" s="9">
        <v>4713140.580000018</v>
      </c>
      <c r="BH108" s="14">
        <v>0.15923053540595272</v>
      </c>
      <c r="BI108" s="10">
        <v>4668</v>
      </c>
      <c r="BJ108" s="14">
        <v>0.12506363027461487</v>
      </c>
      <c r="BK108" s="56"/>
      <c r="BL108" s="55"/>
      <c r="BM108" s="56"/>
      <c r="BN108" s="9">
        <v>7136890.449999985</v>
      </c>
      <c r="BO108" s="14">
        <v>0.2738136033252448</v>
      </c>
      <c r="BP108" s="10">
        <v>7547</v>
      </c>
      <c r="BQ108" s="14">
        <v>0.22925273390036452</v>
      </c>
      <c r="BR108" s="56"/>
      <c r="BS108" s="55"/>
      <c r="BT108" s="56"/>
      <c r="BU108" s="9">
        <v>9258368.099999959</v>
      </c>
      <c r="BV108" s="14">
        <v>0.38213169292852356</v>
      </c>
      <c r="BW108" s="10">
        <v>10404</v>
      </c>
      <c r="BX108" s="14">
        <v>0.3396780828626465</v>
      </c>
      <c r="BY108" s="56"/>
      <c r="BZ108" s="55"/>
      <c r="CA108" s="56"/>
      <c r="CB108" s="9">
        <v>13050298.440000022</v>
      </c>
      <c r="CC108" s="14">
        <v>0.5134540144916414</v>
      </c>
      <c r="CD108" s="10">
        <v>13611</v>
      </c>
      <c r="CE108" s="14">
        <v>0.44737707073363137</v>
      </c>
      <c r="CF108" s="56"/>
      <c r="CG108" s="55"/>
      <c r="CH108" s="56"/>
      <c r="CI108" s="9">
        <v>8343866.590000001</v>
      </c>
      <c r="CJ108" s="14">
        <v>0.4450688375384995</v>
      </c>
      <c r="CK108" s="10">
        <v>9565</v>
      </c>
      <c r="CL108" s="14">
        <v>0.4020596889449348</v>
      </c>
      <c r="CM108" s="56"/>
      <c r="CN108" s="55"/>
      <c r="CO108" s="56"/>
      <c r="CP108" s="9">
        <v>5344434.529999983</v>
      </c>
      <c r="CQ108" s="14">
        <v>0.37327253325244303</v>
      </c>
      <c r="CR108" s="10">
        <v>6726</v>
      </c>
      <c r="CS108" s="14">
        <v>0.36077884460655474</v>
      </c>
      <c r="CT108" s="56"/>
      <c r="CU108" s="55"/>
      <c r="CV108" s="56"/>
      <c r="CW108" s="9">
        <v>3791518.9300000053</v>
      </c>
      <c r="CX108" s="14">
        <v>0.2585644571782962</v>
      </c>
      <c r="CY108" s="10">
        <v>4412</v>
      </c>
      <c r="CZ108" s="14">
        <v>0.2506818181818182</v>
      </c>
      <c r="DA108" s="56"/>
      <c r="DB108" s="55"/>
      <c r="DC108" s="56"/>
    </row>
    <row r="109" spans="1:107" ht="12.75">
      <c r="A109" s="24">
        <v>2004</v>
      </c>
      <c r="B109" s="8"/>
      <c r="C109" s="8"/>
      <c r="D109" s="9"/>
      <c r="E109" s="14"/>
      <c r="F109" s="10"/>
      <c r="G109" s="14"/>
      <c r="H109" s="8"/>
      <c r="I109" s="8"/>
      <c r="J109" s="9"/>
      <c r="K109" s="14"/>
      <c r="L109" s="10"/>
      <c r="M109" s="14"/>
      <c r="N109" s="56"/>
      <c r="O109" s="55"/>
      <c r="P109" s="56"/>
      <c r="Q109" s="9"/>
      <c r="R109" s="14"/>
      <c r="S109" s="10"/>
      <c r="T109" s="14"/>
      <c r="U109" s="56"/>
      <c r="V109" s="55"/>
      <c r="W109" s="56"/>
      <c r="X109" s="9"/>
      <c r="Y109" s="14"/>
      <c r="Z109" s="10"/>
      <c r="AA109" s="14"/>
      <c r="AB109" s="56"/>
      <c r="AC109" s="55"/>
      <c r="AD109" s="56"/>
      <c r="AE109" s="9"/>
      <c r="AF109" s="14"/>
      <c r="AG109" s="10"/>
      <c r="AH109" s="14"/>
      <c r="AI109" s="56"/>
      <c r="AJ109" s="55"/>
      <c r="AK109" s="56"/>
      <c r="AL109" s="9"/>
      <c r="AM109" s="14"/>
      <c r="AN109" s="10"/>
      <c r="AO109" s="14"/>
      <c r="AP109" s="56"/>
      <c r="AQ109" s="55"/>
      <c r="AR109" s="56"/>
      <c r="AS109" s="9"/>
      <c r="AT109" s="14"/>
      <c r="AU109" s="10"/>
      <c r="AV109" s="14"/>
      <c r="AW109" s="56"/>
      <c r="AX109" s="55"/>
      <c r="AY109" s="56"/>
      <c r="AZ109" s="9"/>
      <c r="BA109" s="14"/>
      <c r="BB109" s="10"/>
      <c r="BC109" s="14"/>
      <c r="BD109" s="56"/>
      <c r="BE109" s="55"/>
      <c r="BF109" s="56"/>
      <c r="BG109" s="9"/>
      <c r="BH109" s="14"/>
      <c r="BI109" s="10"/>
      <c r="BJ109" s="14"/>
      <c r="BK109" s="56"/>
      <c r="BL109" s="55"/>
      <c r="BM109" s="56"/>
      <c r="BN109" s="9"/>
      <c r="BO109" s="14"/>
      <c r="BP109" s="10"/>
      <c r="BQ109" s="14"/>
      <c r="BR109" s="56"/>
      <c r="BS109" s="55"/>
      <c r="BT109" s="56"/>
      <c r="BU109" s="9"/>
      <c r="BV109" s="14"/>
      <c r="BW109" s="10"/>
      <c r="BX109" s="14"/>
      <c r="BY109" s="56"/>
      <c r="BZ109" s="55"/>
      <c r="CA109" s="56"/>
      <c r="CB109" s="9"/>
      <c r="CC109" s="14"/>
      <c r="CD109" s="10"/>
      <c r="CE109" s="14"/>
      <c r="CF109" s="56"/>
      <c r="CG109" s="55"/>
      <c r="CH109" s="56"/>
      <c r="CI109" s="9"/>
      <c r="CJ109" s="14"/>
      <c r="CK109" s="10"/>
      <c r="CL109" s="14"/>
      <c r="CM109" s="56"/>
      <c r="CN109" s="55"/>
      <c r="CO109" s="56"/>
      <c r="CP109" s="9"/>
      <c r="CQ109" s="14"/>
      <c r="CR109" s="10"/>
      <c r="CS109" s="14"/>
      <c r="CT109" s="56"/>
      <c r="CU109" s="55"/>
      <c r="CV109" s="56"/>
      <c r="CW109" s="9">
        <v>2994276.6199999833</v>
      </c>
      <c r="CX109" s="14">
        <v>0.20419613436875497</v>
      </c>
      <c r="CY109" s="10">
        <v>2885</v>
      </c>
      <c r="CZ109" s="14">
        <v>0.16392045454545454</v>
      </c>
      <c r="DA109" s="56"/>
      <c r="DB109" s="55"/>
      <c r="DC109" s="56"/>
    </row>
    <row r="110" spans="1:107" ht="12.75">
      <c r="A110" s="8"/>
      <c r="B110" s="8"/>
      <c r="C110" s="8"/>
      <c r="D110" s="9"/>
      <c r="E110" s="8"/>
      <c r="F110" s="10"/>
      <c r="G110" s="8"/>
      <c r="H110" s="8"/>
      <c r="I110" s="8"/>
      <c r="J110" s="9"/>
      <c r="K110" s="8"/>
      <c r="L110" s="10"/>
      <c r="M110" s="8"/>
      <c r="N110" s="54"/>
      <c r="O110" s="55"/>
      <c r="P110" s="54"/>
      <c r="Q110" s="9"/>
      <c r="R110" s="8"/>
      <c r="S110" s="10"/>
      <c r="T110" s="8"/>
      <c r="U110" s="54"/>
      <c r="V110" s="55"/>
      <c r="W110" s="54"/>
      <c r="X110" s="9"/>
      <c r="Y110" s="8"/>
      <c r="Z110" s="10"/>
      <c r="AA110" s="8"/>
      <c r="AB110" s="54"/>
      <c r="AC110" s="55"/>
      <c r="AD110" s="54"/>
      <c r="AE110" s="9"/>
      <c r="AF110" s="8"/>
      <c r="AG110" s="10"/>
      <c r="AH110" s="8"/>
      <c r="AI110" s="54"/>
      <c r="AJ110" s="55"/>
      <c r="AK110" s="54"/>
      <c r="AL110" s="9"/>
      <c r="AM110" s="8"/>
      <c r="AN110" s="10"/>
      <c r="AO110" s="8"/>
      <c r="AP110" s="54"/>
      <c r="AQ110" s="55"/>
      <c r="AR110" s="54"/>
      <c r="AS110" s="9"/>
      <c r="AT110" s="8"/>
      <c r="AU110" s="10"/>
      <c r="AV110" s="8"/>
      <c r="AW110" s="54"/>
      <c r="AX110" s="55"/>
      <c r="AY110" s="54"/>
      <c r="AZ110" s="9"/>
      <c r="BA110" s="8"/>
      <c r="BB110" s="10"/>
      <c r="BC110" s="8"/>
      <c r="BD110" s="54"/>
      <c r="BE110" s="55"/>
      <c r="BF110" s="54"/>
      <c r="BG110" s="9"/>
      <c r="BH110" s="8"/>
      <c r="BI110" s="10"/>
      <c r="BJ110" s="8"/>
      <c r="BK110" s="54"/>
      <c r="BL110" s="55"/>
      <c r="BM110" s="54"/>
      <c r="BN110" s="9"/>
      <c r="BO110" s="8"/>
      <c r="BP110" s="10"/>
      <c r="BQ110" s="8"/>
      <c r="BR110" s="54"/>
      <c r="BS110" s="55"/>
      <c r="BT110" s="54"/>
      <c r="BU110" s="9"/>
      <c r="BV110" s="8"/>
      <c r="BW110" s="10"/>
      <c r="BX110" s="8"/>
      <c r="BY110" s="54"/>
      <c r="BZ110" s="55"/>
      <c r="CA110" s="54"/>
      <c r="CB110" s="9"/>
      <c r="CC110" s="8"/>
      <c r="CD110" s="10"/>
      <c r="CE110" s="8"/>
      <c r="CF110" s="54"/>
      <c r="CG110" s="55"/>
      <c r="CH110" s="54"/>
      <c r="CI110" s="9"/>
      <c r="CJ110" s="8"/>
      <c r="CK110" s="10"/>
      <c r="CL110" s="8"/>
      <c r="CM110" s="54"/>
      <c r="CN110" s="55"/>
      <c r="CO110" s="54"/>
      <c r="CP110" s="9"/>
      <c r="CQ110" s="8"/>
      <c r="CR110" s="10"/>
      <c r="CS110" s="8"/>
      <c r="CT110" s="54"/>
      <c r="CU110" s="55"/>
      <c r="CV110" s="54"/>
      <c r="CW110" s="9"/>
      <c r="CX110" s="8"/>
      <c r="CY110" s="10"/>
      <c r="CZ110" s="8"/>
      <c r="DA110" s="54"/>
      <c r="DB110" s="55"/>
      <c r="DC110" s="54"/>
    </row>
    <row r="111" spans="1:107" ht="13.5" thickBot="1">
      <c r="A111" s="8"/>
      <c r="B111" s="12"/>
      <c r="C111" s="12"/>
      <c r="D111" s="21">
        <f>SUM(D101:D110)</f>
        <v>60250388</v>
      </c>
      <c r="E111" s="12"/>
      <c r="F111" s="22">
        <f>SUM(F101:F110)</f>
        <v>76573</v>
      </c>
      <c r="G111" s="12"/>
      <c r="H111" s="8"/>
      <c r="I111" s="8"/>
      <c r="J111" s="21">
        <f>SUM(J101:J106)</f>
        <v>42724189.1499999</v>
      </c>
      <c r="K111" s="12"/>
      <c r="L111" s="22">
        <f>SUM(L101:L106)</f>
        <v>61036</v>
      </c>
      <c r="M111" s="12"/>
      <c r="N111" s="53"/>
      <c r="O111" s="31"/>
      <c r="P111" s="53"/>
      <c r="Q111" s="21">
        <f>SUM(Q101:Q106)</f>
        <v>49501846.230000615</v>
      </c>
      <c r="R111" s="12"/>
      <c r="S111" s="22">
        <f>SUM(S101:S106)</f>
        <v>65615</v>
      </c>
      <c r="T111" s="12"/>
      <c r="U111" s="53"/>
      <c r="V111" s="31"/>
      <c r="W111" s="53"/>
      <c r="X111" s="21">
        <f>SUM(X101:X106)</f>
        <v>44330354.320000306</v>
      </c>
      <c r="Y111" s="12"/>
      <c r="Z111" s="22">
        <f>SUM(Z101:Z106)</f>
        <v>57370</v>
      </c>
      <c r="AA111" s="12"/>
      <c r="AB111" s="53"/>
      <c r="AC111" s="31"/>
      <c r="AD111" s="53"/>
      <c r="AE111" s="21">
        <f>SUM(AE101:AE107)</f>
        <v>37385681.289999895</v>
      </c>
      <c r="AF111" s="12"/>
      <c r="AG111" s="22">
        <f>SUM(AG101:AG107)</f>
        <v>49839</v>
      </c>
      <c r="AH111" s="12"/>
      <c r="AI111" s="53"/>
      <c r="AJ111" s="31"/>
      <c r="AK111" s="53"/>
      <c r="AL111" s="21">
        <f>SUM(AL101:AL107)</f>
        <v>34927963.56000008</v>
      </c>
      <c r="AM111" s="12"/>
      <c r="AN111" s="22">
        <f>SUM(AN101:AN107)</f>
        <v>46995</v>
      </c>
      <c r="AO111" s="12"/>
      <c r="AP111" s="53"/>
      <c r="AQ111" s="31"/>
      <c r="AR111" s="53"/>
      <c r="AS111" s="21">
        <f>SUM(AS101:AS107)</f>
        <v>32008122.540000007</v>
      </c>
      <c r="AT111" s="12"/>
      <c r="AU111" s="22">
        <f>SUM(AU101:AU107)</f>
        <v>42109</v>
      </c>
      <c r="AV111" s="12"/>
      <c r="AW111" s="53"/>
      <c r="AX111" s="31"/>
      <c r="AY111" s="53"/>
      <c r="AZ111" s="21">
        <f>SUM(AZ101:AZ108)</f>
        <v>35073192.5500001</v>
      </c>
      <c r="BA111" s="12"/>
      <c r="BB111" s="22">
        <f>SUM(BB101:BB108)</f>
        <v>42964</v>
      </c>
      <c r="BC111" s="12"/>
      <c r="BD111" s="53"/>
      <c r="BE111" s="31"/>
      <c r="BF111" s="53"/>
      <c r="BG111" s="21">
        <f>SUM(BG101:BG108)</f>
        <v>29599477.060000017</v>
      </c>
      <c r="BH111" s="12"/>
      <c r="BI111" s="22">
        <f>SUM(BI101:BI108)</f>
        <v>37325</v>
      </c>
      <c r="BJ111" s="12"/>
      <c r="BK111" s="53"/>
      <c r="BL111" s="31"/>
      <c r="BM111" s="53"/>
      <c r="BN111" s="21">
        <f>SUM(BN101:BN108)</f>
        <v>26064776.78000005</v>
      </c>
      <c r="BO111" s="12"/>
      <c r="BP111" s="22">
        <f>SUM(BP101:BP108)</f>
        <v>32920</v>
      </c>
      <c r="BQ111" s="12"/>
      <c r="BR111" s="53"/>
      <c r="BS111" s="31"/>
      <c r="BT111" s="53"/>
      <c r="BU111" s="21">
        <f>SUM(BU101:BU108)</f>
        <v>24228213.129999936</v>
      </c>
      <c r="BV111" s="12"/>
      <c r="BW111" s="22">
        <f>SUM(BW101:BW108)</f>
        <v>30629</v>
      </c>
      <c r="BX111" s="12"/>
      <c r="BY111" s="53"/>
      <c r="BZ111" s="31"/>
      <c r="CA111" s="53"/>
      <c r="CB111" s="21">
        <f>SUM(CB101:CB108)</f>
        <v>25416684.010000013</v>
      </c>
      <c r="CC111" s="12"/>
      <c r="CD111" s="22">
        <f>SUM(CD101:CD108)</f>
        <v>30424</v>
      </c>
      <c r="CE111" s="12"/>
      <c r="CF111" s="53"/>
      <c r="CG111" s="31"/>
      <c r="CH111" s="53"/>
      <c r="CI111" s="21">
        <f>SUM(CI101:CI108)</f>
        <v>18747361.95</v>
      </c>
      <c r="CJ111" s="12"/>
      <c r="CK111" s="22">
        <f>SUM(CK101:CK108)</f>
        <v>23790</v>
      </c>
      <c r="CL111" s="12"/>
      <c r="CM111" s="53"/>
      <c r="CN111" s="31"/>
      <c r="CO111" s="53"/>
      <c r="CP111" s="21">
        <f>SUM(CP101:CP108)</f>
        <v>14317781.389999993</v>
      </c>
      <c r="CQ111" s="12"/>
      <c r="CR111" s="22">
        <f>SUM(CR101:CR108)</f>
        <v>18643</v>
      </c>
      <c r="CS111" s="12"/>
      <c r="CT111" s="53"/>
      <c r="CU111" s="31"/>
      <c r="CV111" s="53"/>
      <c r="CW111" s="21">
        <f>SUM(CW101:CW109)</f>
        <v>14663728.22999999</v>
      </c>
      <c r="CX111" s="12"/>
      <c r="CY111" s="22">
        <f>SUM(CY101:CY109)</f>
        <v>17600</v>
      </c>
      <c r="CZ111" s="12"/>
      <c r="DA111" s="53"/>
      <c r="DB111" s="31"/>
      <c r="DC111" s="53"/>
    </row>
    <row r="112" spans="1:107" ht="13.5" thickTop="1">
      <c r="A112" s="8"/>
      <c r="B112" s="8"/>
      <c r="C112" s="8"/>
      <c r="D112" s="10"/>
      <c r="E112" s="8"/>
      <c r="F112" s="10"/>
      <c r="G112" s="8"/>
      <c r="H112" s="8"/>
      <c r="I112" s="8"/>
      <c r="J112" s="8"/>
      <c r="K112" s="8"/>
      <c r="L112" s="8"/>
      <c r="M112" s="10"/>
      <c r="N112" s="8"/>
      <c r="O112" s="10"/>
      <c r="P112" s="8"/>
      <c r="Q112" s="8"/>
      <c r="R112" s="8"/>
      <c r="S112" s="8"/>
      <c r="T112" s="10"/>
      <c r="U112" s="8"/>
      <c r="V112" s="10"/>
      <c r="W112" s="8"/>
      <c r="X112" s="8"/>
      <c r="Y112" s="8"/>
      <c r="Z112" s="8"/>
      <c r="AA112" s="10"/>
      <c r="AB112" s="8"/>
      <c r="AC112" s="10"/>
      <c r="AD112" s="8"/>
      <c r="AE112" s="8"/>
      <c r="AF112" s="8"/>
      <c r="AG112" s="8"/>
      <c r="AH112" s="10"/>
      <c r="AI112" s="8"/>
      <c r="AJ112" s="10"/>
      <c r="AK112" s="8"/>
      <c r="AL112" s="8"/>
      <c r="AM112" s="8"/>
      <c r="AN112" s="8"/>
      <c r="AO112" s="10"/>
      <c r="AP112" s="8"/>
      <c r="AQ112" s="10"/>
      <c r="AR112" s="8"/>
      <c r="AS112" s="8"/>
      <c r="AT112" s="8"/>
      <c r="AU112" s="8"/>
      <c r="AV112" s="10"/>
      <c r="AW112" s="8"/>
      <c r="AX112" s="10"/>
      <c r="AY112" s="8"/>
      <c r="AZ112" s="8"/>
      <c r="BA112" s="8"/>
      <c r="BB112" s="8"/>
      <c r="BC112" s="10"/>
      <c r="BD112" s="8"/>
      <c r="BE112" s="10"/>
      <c r="BF112" s="8"/>
      <c r="BG112" s="8"/>
      <c r="BH112" s="8"/>
      <c r="BI112" s="8"/>
      <c r="BJ112" s="10"/>
      <c r="BK112" s="8"/>
      <c r="BL112" s="10"/>
      <c r="BM112" s="8"/>
      <c r="BN112" s="8"/>
      <c r="BO112" s="8"/>
      <c r="BP112" s="8"/>
      <c r="BQ112" s="10"/>
      <c r="BR112" s="8"/>
      <c r="BS112" s="10"/>
      <c r="BT112" s="8"/>
      <c r="BU112" s="8"/>
      <c r="BV112" s="8"/>
      <c r="BW112" s="8"/>
      <c r="BX112" s="10"/>
      <c r="BY112" s="8"/>
      <c r="BZ112" s="10"/>
      <c r="CA112" s="8"/>
      <c r="CB112" s="8"/>
      <c r="CC112" s="8"/>
      <c r="CD112" s="8"/>
      <c r="CE112" s="10"/>
      <c r="CF112" s="8"/>
      <c r="CG112" s="10"/>
      <c r="CH112" s="8"/>
      <c r="CI112" s="8"/>
      <c r="CJ112" s="8"/>
      <c r="CK112" s="8"/>
      <c r="CL112" s="10"/>
      <c r="CM112" s="8"/>
      <c r="CN112" s="10"/>
      <c r="CO112" s="8"/>
      <c r="CP112" s="8"/>
      <c r="CQ112" s="8"/>
      <c r="CR112" s="8"/>
      <c r="CS112" s="10"/>
      <c r="CT112" s="8"/>
      <c r="CU112" s="10"/>
      <c r="CV112" s="8"/>
      <c r="CW112" s="8"/>
      <c r="CX112" s="8"/>
      <c r="CY112" s="8"/>
      <c r="CZ112" s="10"/>
      <c r="DA112" s="8"/>
      <c r="DB112" s="10"/>
      <c r="DC112" s="8"/>
    </row>
    <row r="113" spans="1:107" ht="12.75">
      <c r="A113" s="8"/>
      <c r="B113" s="8"/>
      <c r="C113" s="8"/>
      <c r="D113" s="9"/>
      <c r="E113" s="8"/>
      <c r="F113" s="10"/>
      <c r="G113" s="8"/>
      <c r="H113" s="8"/>
      <c r="I113" s="8"/>
      <c r="J113" s="8"/>
      <c r="K113" s="8"/>
      <c r="L113" s="8"/>
      <c r="M113" s="9"/>
      <c r="N113" s="8"/>
      <c r="O113" s="10"/>
      <c r="P113" s="8"/>
      <c r="Q113" s="8"/>
      <c r="R113" s="8"/>
      <c r="S113" s="8"/>
      <c r="T113" s="9"/>
      <c r="U113" s="8"/>
      <c r="V113" s="10"/>
      <c r="W113" s="8"/>
      <c r="X113" s="8"/>
      <c r="Y113" s="8"/>
      <c r="Z113" s="8"/>
      <c r="AA113" s="9"/>
      <c r="AB113" s="8"/>
      <c r="AC113" s="10"/>
      <c r="AD113" s="8"/>
      <c r="AE113" s="8"/>
      <c r="AF113" s="8"/>
      <c r="AG113" s="8"/>
      <c r="AH113" s="9"/>
      <c r="AI113" s="8"/>
      <c r="AJ113" s="10"/>
      <c r="AK113" s="8"/>
      <c r="AL113" s="8"/>
      <c r="AM113" s="8"/>
      <c r="AN113" s="8"/>
      <c r="AO113" s="9"/>
      <c r="AP113" s="8"/>
      <c r="AQ113" s="10"/>
      <c r="AR113" s="8"/>
      <c r="AS113" s="8"/>
      <c r="AT113" s="8"/>
      <c r="AU113" s="8"/>
      <c r="AV113" s="9"/>
      <c r="AW113" s="8"/>
      <c r="AX113" s="10"/>
      <c r="AY113" s="8"/>
      <c r="AZ113" s="8"/>
      <c r="BA113" s="8"/>
      <c r="BB113" s="8"/>
      <c r="BC113" s="9"/>
      <c r="BD113" s="8"/>
      <c r="BE113" s="10"/>
      <c r="BF113" s="8"/>
      <c r="BG113" s="8"/>
      <c r="BH113" s="8"/>
      <c r="BI113" s="8"/>
      <c r="BJ113" s="9"/>
      <c r="BK113" s="8"/>
      <c r="BL113" s="10"/>
      <c r="BM113" s="8"/>
      <c r="BN113" s="8"/>
      <c r="BO113" s="8"/>
      <c r="BP113" s="8"/>
      <c r="BQ113" s="9"/>
      <c r="BR113" s="8"/>
      <c r="BS113" s="10"/>
      <c r="BT113" s="8"/>
      <c r="BU113" s="8"/>
      <c r="BV113" s="8"/>
      <c r="BW113" s="8"/>
      <c r="BX113" s="9"/>
      <c r="BY113" s="8"/>
      <c r="BZ113" s="10"/>
      <c r="CA113" s="8"/>
      <c r="CB113" s="8"/>
      <c r="CC113" s="8"/>
      <c r="CD113" s="8"/>
      <c r="CE113" s="9"/>
      <c r="CF113" s="8"/>
      <c r="CG113" s="10"/>
      <c r="CH113" s="8"/>
      <c r="CI113" s="8"/>
      <c r="CJ113" s="8"/>
      <c r="CK113" s="8"/>
      <c r="CL113" s="9"/>
      <c r="CM113" s="8"/>
      <c r="CN113" s="10"/>
      <c r="CO113" s="8"/>
      <c r="CP113" s="8"/>
      <c r="CQ113" s="8"/>
      <c r="CR113" s="8"/>
      <c r="CS113" s="9"/>
      <c r="CT113" s="8"/>
      <c r="CU113" s="10"/>
      <c r="CV113" s="8"/>
      <c r="CW113" s="8"/>
      <c r="CX113" s="8"/>
      <c r="CY113" s="8"/>
      <c r="CZ113" s="9"/>
      <c r="DA113" s="8"/>
      <c r="DB113" s="10"/>
      <c r="DC113" s="8"/>
    </row>
    <row r="114" spans="1:107" ht="12.75">
      <c r="A114" s="12"/>
      <c r="B114" s="8"/>
      <c r="C114" s="8"/>
      <c r="D114" s="9"/>
      <c r="E114" s="8"/>
      <c r="F114" s="10"/>
      <c r="G114" s="8"/>
      <c r="H114" s="8"/>
      <c r="I114" s="8"/>
      <c r="J114" s="69"/>
      <c r="K114" s="54"/>
      <c r="L114" s="54"/>
      <c r="M114" s="63"/>
      <c r="N114" s="54"/>
      <c r="O114" s="55"/>
      <c r="P114" s="54"/>
      <c r="Q114" s="69"/>
      <c r="R114" s="54"/>
      <c r="S114" s="54"/>
      <c r="T114" s="63"/>
      <c r="U114" s="54"/>
      <c r="V114" s="55"/>
      <c r="W114" s="54"/>
      <c r="X114" s="69"/>
      <c r="Y114" s="54"/>
      <c r="Z114" s="54"/>
      <c r="AA114" s="63"/>
      <c r="AB114" s="54"/>
      <c r="AC114" s="55"/>
      <c r="AD114" s="54"/>
      <c r="AE114" s="69"/>
      <c r="AF114" s="54"/>
      <c r="AG114" s="54"/>
      <c r="AH114" s="63"/>
      <c r="AI114" s="54"/>
      <c r="AJ114" s="55"/>
      <c r="AK114" s="54"/>
      <c r="AL114" s="69"/>
      <c r="AM114" s="54"/>
      <c r="AN114" s="54"/>
      <c r="AO114" s="63"/>
      <c r="AP114" s="54"/>
      <c r="AQ114" s="55"/>
      <c r="AR114" s="54"/>
      <c r="AS114" s="69"/>
      <c r="AT114" s="54"/>
      <c r="AU114" s="54"/>
      <c r="AV114" s="63"/>
      <c r="AW114" s="54"/>
      <c r="AX114" s="55"/>
      <c r="AY114" s="54"/>
      <c r="AZ114" s="69"/>
      <c r="BA114" s="54"/>
      <c r="BB114" s="54"/>
      <c r="BC114" s="63"/>
      <c r="BD114" s="54"/>
      <c r="BE114" s="55"/>
      <c r="BF114" s="54"/>
      <c r="BG114" s="69"/>
      <c r="BH114" s="54"/>
      <c r="BI114" s="54"/>
      <c r="BJ114" s="63"/>
      <c r="BK114" s="54"/>
      <c r="BL114" s="55"/>
      <c r="BM114" s="54"/>
      <c r="BN114" s="69"/>
      <c r="BO114" s="54"/>
      <c r="BP114" s="54"/>
      <c r="BQ114" s="63"/>
      <c r="BR114" s="54"/>
      <c r="BS114" s="55"/>
      <c r="BT114" s="54"/>
      <c r="BU114" s="69"/>
      <c r="BV114" s="54"/>
      <c r="BW114" s="54"/>
      <c r="BX114" s="63"/>
      <c r="BY114" s="54"/>
      <c r="BZ114" s="55"/>
      <c r="CA114" s="54"/>
      <c r="CB114" s="69"/>
      <c r="CC114" s="54"/>
      <c r="CD114" s="54"/>
      <c r="CE114" s="63"/>
      <c r="CF114" s="54"/>
      <c r="CG114" s="55"/>
      <c r="CH114" s="54"/>
      <c r="CI114" s="69"/>
      <c r="CJ114" s="54"/>
      <c r="CK114" s="54"/>
      <c r="CL114" s="63"/>
      <c r="CM114" s="54"/>
      <c r="CN114" s="55"/>
      <c r="CO114" s="54"/>
      <c r="CP114" s="69"/>
      <c r="CQ114" s="54"/>
      <c r="CR114" s="54"/>
      <c r="CS114" s="63"/>
      <c r="CT114" s="54"/>
      <c r="CU114" s="55"/>
      <c r="CV114" s="54"/>
      <c r="CW114" s="69"/>
      <c r="CX114" s="54"/>
      <c r="CY114" s="54"/>
      <c r="CZ114" s="63"/>
      <c r="DA114" s="54"/>
      <c r="DB114" s="55"/>
      <c r="DC114" s="54"/>
    </row>
    <row r="115" spans="1:107" ht="12.75">
      <c r="A115" s="8"/>
      <c r="B115" s="8"/>
      <c r="C115" s="8"/>
      <c r="D115" s="9"/>
      <c r="E115" s="8"/>
      <c r="F115" s="10"/>
      <c r="G115" s="8"/>
      <c r="H115" s="8"/>
      <c r="I115" s="8"/>
      <c r="J115" s="69"/>
      <c r="K115" s="54"/>
      <c r="L115" s="54"/>
      <c r="M115" s="63"/>
      <c r="N115" s="54"/>
      <c r="O115" s="55"/>
      <c r="P115" s="54"/>
      <c r="Q115" s="69"/>
      <c r="R115" s="54"/>
      <c r="S115" s="54"/>
      <c r="T115" s="63"/>
      <c r="U115" s="54"/>
      <c r="V115" s="55"/>
      <c r="W115" s="54"/>
      <c r="X115" s="69"/>
      <c r="Y115" s="54"/>
      <c r="Z115" s="54"/>
      <c r="AA115" s="63"/>
      <c r="AB115" s="54"/>
      <c r="AC115" s="55"/>
      <c r="AD115" s="54"/>
      <c r="AE115" s="69"/>
      <c r="AF115" s="54"/>
      <c r="AG115" s="54"/>
      <c r="AH115" s="63"/>
      <c r="AI115" s="54"/>
      <c r="AJ115" s="55"/>
      <c r="AK115" s="54"/>
      <c r="AL115" s="69"/>
      <c r="AM115" s="54"/>
      <c r="AN115" s="54"/>
      <c r="AO115" s="63"/>
      <c r="AP115" s="54"/>
      <c r="AQ115" s="55"/>
      <c r="AR115" s="54"/>
      <c r="AS115" s="69"/>
      <c r="AT115" s="54"/>
      <c r="AU115" s="54"/>
      <c r="AV115" s="63"/>
      <c r="AW115" s="54"/>
      <c r="AX115" s="55"/>
      <c r="AY115" s="54"/>
      <c r="AZ115" s="69"/>
      <c r="BA115" s="54"/>
      <c r="BB115" s="54"/>
      <c r="BC115" s="63"/>
      <c r="BD115" s="54"/>
      <c r="BE115" s="55"/>
      <c r="BF115" s="54"/>
      <c r="BG115" s="69"/>
      <c r="BH115" s="54"/>
      <c r="BI115" s="54"/>
      <c r="BJ115" s="63"/>
      <c r="BK115" s="54"/>
      <c r="BL115" s="55"/>
      <c r="BM115" s="54"/>
      <c r="BN115" s="69"/>
      <c r="BO115" s="54"/>
      <c r="BP115" s="54"/>
      <c r="BQ115" s="63"/>
      <c r="BR115" s="54"/>
      <c r="BS115" s="55"/>
      <c r="BT115" s="54"/>
      <c r="BU115" s="69"/>
      <c r="BV115" s="54"/>
      <c r="BW115" s="54"/>
      <c r="BX115" s="63"/>
      <c r="BY115" s="54"/>
      <c r="BZ115" s="55"/>
      <c r="CA115" s="54"/>
      <c r="CB115" s="69"/>
      <c r="CC115" s="54"/>
      <c r="CD115" s="54"/>
      <c r="CE115" s="63"/>
      <c r="CF115" s="54"/>
      <c r="CG115" s="55"/>
      <c r="CH115" s="54"/>
      <c r="CI115" s="69"/>
      <c r="CJ115" s="54"/>
      <c r="CK115" s="54"/>
      <c r="CL115" s="63"/>
      <c r="CM115" s="54"/>
      <c r="CN115" s="55"/>
      <c r="CO115" s="54"/>
      <c r="CP115" s="69"/>
      <c r="CQ115" s="54"/>
      <c r="CR115" s="54"/>
      <c r="CS115" s="63"/>
      <c r="CT115" s="54"/>
      <c r="CU115" s="55"/>
      <c r="CV115" s="54"/>
      <c r="CW115" s="69"/>
      <c r="CX115" s="54"/>
      <c r="CY115" s="54"/>
      <c r="CZ115" s="63"/>
      <c r="DA115" s="54"/>
      <c r="DB115" s="55"/>
      <c r="DC115" s="54"/>
    </row>
    <row r="116" spans="1:107" ht="12.75">
      <c r="A116" s="19" t="s">
        <v>116</v>
      </c>
      <c r="B116" s="8"/>
      <c r="C116" s="8"/>
      <c r="D116" s="9"/>
      <c r="E116" s="8"/>
      <c r="F116" s="10"/>
      <c r="G116" s="8"/>
      <c r="H116" s="8"/>
      <c r="I116" s="8"/>
      <c r="J116" s="19" t="s">
        <v>116</v>
      </c>
      <c r="K116" s="8"/>
      <c r="L116" s="8"/>
      <c r="M116" s="9"/>
      <c r="N116" s="8"/>
      <c r="O116" s="10"/>
      <c r="P116" s="8"/>
      <c r="Q116" s="19" t="s">
        <v>116</v>
      </c>
      <c r="R116" s="8"/>
      <c r="S116" s="8"/>
      <c r="T116" s="9"/>
      <c r="U116" s="8"/>
      <c r="V116" s="10"/>
      <c r="W116" s="8"/>
      <c r="X116" s="19" t="s">
        <v>116</v>
      </c>
      <c r="Y116" s="8"/>
      <c r="Z116" s="8"/>
      <c r="AA116" s="9"/>
      <c r="AB116" s="8"/>
      <c r="AC116" s="10"/>
      <c r="AD116" s="8"/>
      <c r="AE116" s="19" t="s">
        <v>116</v>
      </c>
      <c r="AF116" s="8"/>
      <c r="AG116" s="8"/>
      <c r="AH116" s="9"/>
      <c r="AI116" s="8"/>
      <c r="AJ116" s="10"/>
      <c r="AK116" s="8"/>
      <c r="AL116" s="19" t="s">
        <v>116</v>
      </c>
      <c r="AM116" s="8"/>
      <c r="AN116" s="8"/>
      <c r="AO116" s="9"/>
      <c r="AP116" s="8"/>
      <c r="AQ116" s="10"/>
      <c r="AR116" s="8"/>
      <c r="AS116" s="19" t="s">
        <v>116</v>
      </c>
      <c r="AT116" s="8"/>
      <c r="AU116" s="8"/>
      <c r="AV116" s="9"/>
      <c r="AW116" s="8"/>
      <c r="AX116" s="10"/>
      <c r="AY116" s="8"/>
      <c r="AZ116" s="19" t="s">
        <v>116</v>
      </c>
      <c r="BA116" s="8"/>
      <c r="BB116" s="8"/>
      <c r="BC116" s="9"/>
      <c r="BD116" s="8"/>
      <c r="BE116" s="10"/>
      <c r="BF116" s="8"/>
      <c r="BG116" s="19" t="s">
        <v>116</v>
      </c>
      <c r="BH116" s="8"/>
      <c r="BI116" s="8"/>
      <c r="BJ116" s="9"/>
      <c r="BK116" s="8"/>
      <c r="BL116" s="10"/>
      <c r="BM116" s="8"/>
      <c r="BN116" s="19" t="s">
        <v>116</v>
      </c>
      <c r="BO116" s="8"/>
      <c r="BP116" s="8"/>
      <c r="BQ116" s="9"/>
      <c r="BR116" s="8"/>
      <c r="BS116" s="10"/>
      <c r="BT116" s="8"/>
      <c r="BU116" s="19" t="s">
        <v>116</v>
      </c>
      <c r="BV116" s="8"/>
      <c r="BW116" s="8"/>
      <c r="BX116" s="9"/>
      <c r="BY116" s="8"/>
      <c r="BZ116" s="10"/>
      <c r="CA116" s="8"/>
      <c r="CB116" s="19" t="s">
        <v>116</v>
      </c>
      <c r="CC116" s="8"/>
      <c r="CD116" s="8"/>
      <c r="CE116" s="9"/>
      <c r="CF116" s="8"/>
      <c r="CG116" s="10"/>
      <c r="CH116" s="8"/>
      <c r="CI116" s="19" t="s">
        <v>116</v>
      </c>
      <c r="CJ116" s="8"/>
      <c r="CK116" s="8"/>
      <c r="CL116" s="9"/>
      <c r="CM116" s="8"/>
      <c r="CN116" s="10"/>
      <c r="CO116" s="8"/>
      <c r="CP116" s="19" t="s">
        <v>116</v>
      </c>
      <c r="CQ116" s="8"/>
      <c r="CR116" s="8"/>
      <c r="CS116" s="9"/>
      <c r="CT116" s="8"/>
      <c r="CU116" s="10"/>
      <c r="CV116" s="8"/>
      <c r="CW116" s="19" t="s">
        <v>116</v>
      </c>
      <c r="CX116" s="8"/>
      <c r="CY116" s="8"/>
      <c r="CZ116" s="9"/>
      <c r="DA116" s="8"/>
      <c r="DB116" s="10"/>
      <c r="DC116" s="8"/>
    </row>
    <row r="117" spans="1:107" s="1" customFormat="1" ht="12.75">
      <c r="A117" s="19"/>
      <c r="B117" s="8"/>
      <c r="C117" s="8"/>
      <c r="D117" s="9"/>
      <c r="E117" s="8"/>
      <c r="F117" s="10"/>
      <c r="G117" s="8"/>
      <c r="H117" s="12"/>
      <c r="I117" s="12"/>
      <c r="J117" s="19"/>
      <c r="K117" s="8"/>
      <c r="L117" s="8"/>
      <c r="M117" s="9"/>
      <c r="N117" s="8"/>
      <c r="O117" s="10"/>
      <c r="P117" s="8"/>
      <c r="Q117" s="19"/>
      <c r="R117" s="8"/>
      <c r="S117" s="8"/>
      <c r="T117" s="9"/>
      <c r="U117" s="8"/>
      <c r="V117" s="10"/>
      <c r="W117" s="8"/>
      <c r="X117" s="19"/>
      <c r="Y117" s="8"/>
      <c r="Z117" s="8"/>
      <c r="AA117" s="9"/>
      <c r="AB117" s="8"/>
      <c r="AC117" s="10"/>
      <c r="AD117" s="8"/>
      <c r="AE117" s="19"/>
      <c r="AF117" s="8"/>
      <c r="AG117" s="8"/>
      <c r="AH117" s="9"/>
      <c r="AI117" s="8"/>
      <c r="AJ117" s="10"/>
      <c r="AK117" s="8"/>
      <c r="AL117" s="19"/>
      <c r="AM117" s="8"/>
      <c r="AN117" s="8"/>
      <c r="AO117" s="9"/>
      <c r="AP117" s="8"/>
      <c r="AQ117" s="10"/>
      <c r="AR117" s="8"/>
      <c r="AS117" s="19"/>
      <c r="AT117" s="8"/>
      <c r="AU117" s="8"/>
      <c r="AV117" s="9"/>
      <c r="AW117" s="8"/>
      <c r="AX117" s="10"/>
      <c r="AY117" s="8"/>
      <c r="AZ117" s="19"/>
      <c r="BA117" s="8"/>
      <c r="BB117" s="8"/>
      <c r="BC117" s="9"/>
      <c r="BD117" s="8"/>
      <c r="BE117" s="10"/>
      <c r="BF117" s="8"/>
      <c r="BG117" s="19"/>
      <c r="BH117" s="8"/>
      <c r="BI117" s="8"/>
      <c r="BJ117" s="9"/>
      <c r="BK117" s="8"/>
      <c r="BL117" s="10"/>
      <c r="BM117" s="8"/>
      <c r="BN117" s="19"/>
      <c r="BO117" s="8"/>
      <c r="BP117" s="8"/>
      <c r="BQ117" s="9"/>
      <c r="BR117" s="8"/>
      <c r="BS117" s="10"/>
      <c r="BT117" s="8"/>
      <c r="BU117" s="19"/>
      <c r="BV117" s="8"/>
      <c r="BW117" s="8"/>
      <c r="BX117" s="9"/>
      <c r="BY117" s="8"/>
      <c r="BZ117" s="10"/>
      <c r="CA117" s="8"/>
      <c r="CB117" s="19"/>
      <c r="CC117" s="8"/>
      <c r="CD117" s="8"/>
      <c r="CE117" s="9"/>
      <c r="CF117" s="8"/>
      <c r="CG117" s="10"/>
      <c r="CH117" s="8"/>
      <c r="CI117" s="19"/>
      <c r="CJ117" s="8"/>
      <c r="CK117" s="8"/>
      <c r="CL117" s="9"/>
      <c r="CM117" s="8"/>
      <c r="CN117" s="10"/>
      <c r="CO117" s="8"/>
      <c r="CP117" s="19"/>
      <c r="CQ117" s="8"/>
      <c r="CR117" s="8"/>
      <c r="CS117" s="9"/>
      <c r="CT117" s="8"/>
      <c r="CU117" s="10"/>
      <c r="CV117" s="8"/>
      <c r="CW117" s="19"/>
      <c r="CX117" s="8"/>
      <c r="CY117" s="8"/>
      <c r="CZ117" s="9"/>
      <c r="DA117" s="8"/>
      <c r="DB117" s="10"/>
      <c r="DC117" s="8"/>
    </row>
    <row r="118" spans="1:107" s="29" customFormat="1" ht="12.75">
      <c r="A118" s="25"/>
      <c r="B118" s="26"/>
      <c r="C118" s="26"/>
      <c r="D118" s="27" t="s">
        <v>99</v>
      </c>
      <c r="E118" s="26" t="s">
        <v>100</v>
      </c>
      <c r="F118" s="28" t="s">
        <v>101</v>
      </c>
      <c r="G118" s="26" t="s">
        <v>100</v>
      </c>
      <c r="H118" s="25"/>
      <c r="I118" s="25"/>
      <c r="J118" s="27" t="s">
        <v>99</v>
      </c>
      <c r="K118" s="26" t="s">
        <v>100</v>
      </c>
      <c r="L118" s="28" t="s">
        <v>101</v>
      </c>
      <c r="M118" s="26" t="s">
        <v>100</v>
      </c>
      <c r="N118" s="64"/>
      <c r="O118" s="65"/>
      <c r="P118" s="64"/>
      <c r="Q118" s="27" t="s">
        <v>99</v>
      </c>
      <c r="R118" s="26" t="s">
        <v>100</v>
      </c>
      <c r="S118" s="28" t="s">
        <v>101</v>
      </c>
      <c r="T118" s="26" t="s">
        <v>100</v>
      </c>
      <c r="U118" s="64"/>
      <c r="V118" s="65"/>
      <c r="W118" s="64"/>
      <c r="X118" s="27" t="s">
        <v>99</v>
      </c>
      <c r="Y118" s="26" t="s">
        <v>100</v>
      </c>
      <c r="Z118" s="28" t="s">
        <v>101</v>
      </c>
      <c r="AA118" s="26" t="s">
        <v>100</v>
      </c>
      <c r="AB118" s="64"/>
      <c r="AC118" s="65"/>
      <c r="AD118" s="64"/>
      <c r="AE118" s="27" t="s">
        <v>99</v>
      </c>
      <c r="AF118" s="26" t="s">
        <v>100</v>
      </c>
      <c r="AG118" s="28" t="s">
        <v>101</v>
      </c>
      <c r="AH118" s="26" t="s">
        <v>100</v>
      </c>
      <c r="AI118" s="64"/>
      <c r="AJ118" s="65"/>
      <c r="AK118" s="64"/>
      <c r="AL118" s="27" t="s">
        <v>99</v>
      </c>
      <c r="AM118" s="26" t="s">
        <v>100</v>
      </c>
      <c r="AN118" s="28" t="s">
        <v>101</v>
      </c>
      <c r="AO118" s="26" t="s">
        <v>100</v>
      </c>
      <c r="AP118" s="64"/>
      <c r="AQ118" s="65"/>
      <c r="AR118" s="64"/>
      <c r="AS118" s="27" t="s">
        <v>99</v>
      </c>
      <c r="AT118" s="26" t="s">
        <v>100</v>
      </c>
      <c r="AU118" s="28" t="s">
        <v>101</v>
      </c>
      <c r="AV118" s="26" t="s">
        <v>100</v>
      </c>
      <c r="AW118" s="64"/>
      <c r="AX118" s="65"/>
      <c r="AY118" s="64"/>
      <c r="AZ118" s="89" t="s">
        <v>99</v>
      </c>
      <c r="BA118" s="44" t="s">
        <v>100</v>
      </c>
      <c r="BB118" s="88" t="s">
        <v>101</v>
      </c>
      <c r="BC118" s="44" t="s">
        <v>100</v>
      </c>
      <c r="BD118" s="64"/>
      <c r="BE118" s="65"/>
      <c r="BF118" s="64"/>
      <c r="BG118" s="89" t="s">
        <v>99</v>
      </c>
      <c r="BH118" s="44" t="s">
        <v>100</v>
      </c>
      <c r="BI118" s="88" t="s">
        <v>101</v>
      </c>
      <c r="BJ118" s="44" t="s">
        <v>100</v>
      </c>
      <c r="BK118" s="64"/>
      <c r="BL118" s="65"/>
      <c r="BM118" s="64"/>
      <c r="BN118" s="89" t="s">
        <v>99</v>
      </c>
      <c r="BO118" s="44" t="s">
        <v>100</v>
      </c>
      <c r="BP118" s="88" t="s">
        <v>101</v>
      </c>
      <c r="BQ118" s="44" t="s">
        <v>100</v>
      </c>
      <c r="BR118" s="64"/>
      <c r="BS118" s="65"/>
      <c r="BT118" s="64"/>
      <c r="BU118" s="89" t="s">
        <v>99</v>
      </c>
      <c r="BV118" s="44" t="s">
        <v>100</v>
      </c>
      <c r="BW118" s="88" t="s">
        <v>101</v>
      </c>
      <c r="BX118" s="44" t="s">
        <v>100</v>
      </c>
      <c r="BY118" s="64"/>
      <c r="BZ118" s="65"/>
      <c r="CA118" s="64"/>
      <c r="CB118" s="89" t="s">
        <v>99</v>
      </c>
      <c r="CC118" s="44" t="s">
        <v>100</v>
      </c>
      <c r="CD118" s="88" t="s">
        <v>101</v>
      </c>
      <c r="CE118" s="44" t="s">
        <v>100</v>
      </c>
      <c r="CF118" s="64"/>
      <c r="CG118" s="65"/>
      <c r="CH118" s="64"/>
      <c r="CI118" s="89" t="s">
        <v>99</v>
      </c>
      <c r="CJ118" s="44" t="s">
        <v>100</v>
      </c>
      <c r="CK118" s="88" t="s">
        <v>101</v>
      </c>
      <c r="CL118" s="44" t="s">
        <v>100</v>
      </c>
      <c r="CM118" s="64"/>
      <c r="CN118" s="65"/>
      <c r="CO118" s="64"/>
      <c r="CP118" s="89" t="s">
        <v>99</v>
      </c>
      <c r="CQ118" s="44" t="s">
        <v>100</v>
      </c>
      <c r="CR118" s="88" t="s">
        <v>101</v>
      </c>
      <c r="CS118" s="44" t="s">
        <v>100</v>
      </c>
      <c r="CT118" s="64"/>
      <c r="CU118" s="65"/>
      <c r="CV118" s="64"/>
      <c r="CW118" s="89" t="s">
        <v>99</v>
      </c>
      <c r="CX118" s="44" t="s">
        <v>100</v>
      </c>
      <c r="CY118" s="88" t="s">
        <v>101</v>
      </c>
      <c r="CZ118" s="44" t="s">
        <v>100</v>
      </c>
      <c r="DA118" s="64"/>
      <c r="DB118" s="65"/>
      <c r="DC118" s="64"/>
    </row>
    <row r="119" spans="1:107" ht="12.75">
      <c r="A119" s="12"/>
      <c r="B119" s="8"/>
      <c r="C119" s="8"/>
      <c r="D119" s="9"/>
      <c r="E119" s="8"/>
      <c r="F119" s="10"/>
      <c r="G119" s="8"/>
      <c r="H119" s="8"/>
      <c r="I119" s="8"/>
      <c r="J119" s="9"/>
      <c r="K119" s="8"/>
      <c r="L119" s="10"/>
      <c r="M119" s="8"/>
      <c r="N119" s="54"/>
      <c r="O119" s="55"/>
      <c r="P119" s="54"/>
      <c r="Q119" s="9"/>
      <c r="R119" s="8"/>
      <c r="S119" s="10"/>
      <c r="T119" s="8"/>
      <c r="U119" s="54"/>
      <c r="V119" s="55"/>
      <c r="W119" s="54"/>
      <c r="X119" s="9"/>
      <c r="Y119" s="8"/>
      <c r="Z119" s="10"/>
      <c r="AA119" s="8"/>
      <c r="AB119" s="54"/>
      <c r="AC119" s="55"/>
      <c r="AD119" s="54"/>
      <c r="AE119" s="9"/>
      <c r="AF119" s="8"/>
      <c r="AG119" s="10"/>
      <c r="AH119" s="8"/>
      <c r="AI119" s="54"/>
      <c r="AJ119" s="55"/>
      <c r="AK119" s="54"/>
      <c r="AL119" s="9"/>
      <c r="AM119" s="8"/>
      <c r="AN119" s="10"/>
      <c r="AO119" s="8"/>
      <c r="AP119" s="54"/>
      <c r="AQ119" s="55"/>
      <c r="AR119" s="54"/>
      <c r="AS119" s="9"/>
      <c r="AT119" s="8"/>
      <c r="AU119" s="10"/>
      <c r="AV119" s="8"/>
      <c r="AW119" s="54"/>
      <c r="AX119" s="55"/>
      <c r="AY119" s="54"/>
      <c r="AZ119" s="9"/>
      <c r="BA119" s="8"/>
      <c r="BB119" s="10"/>
      <c r="BC119" s="8"/>
      <c r="BD119" s="54"/>
      <c r="BE119" s="55"/>
      <c r="BF119" s="54"/>
      <c r="BG119" s="9"/>
      <c r="BH119" s="8"/>
      <c r="BI119" s="10"/>
      <c r="BJ119" s="8"/>
      <c r="BK119" s="54"/>
      <c r="BL119" s="55"/>
      <c r="BM119" s="54"/>
      <c r="BN119" s="9"/>
      <c r="BO119" s="8"/>
      <c r="BP119" s="10"/>
      <c r="BQ119" s="8"/>
      <c r="BR119" s="54"/>
      <c r="BS119" s="55"/>
      <c r="BT119" s="54"/>
      <c r="BU119" s="9"/>
      <c r="BV119" s="8"/>
      <c r="BW119" s="10"/>
      <c r="BX119" s="8"/>
      <c r="BY119" s="54"/>
      <c r="BZ119" s="55"/>
      <c r="CA119" s="54"/>
      <c r="CB119" s="9"/>
      <c r="CC119" s="8"/>
      <c r="CD119" s="10"/>
      <c r="CE119" s="8"/>
      <c r="CF119" s="54"/>
      <c r="CG119" s="55"/>
      <c r="CH119" s="54"/>
      <c r="CI119" s="9"/>
      <c r="CJ119" s="8"/>
      <c r="CK119" s="10"/>
      <c r="CL119" s="8"/>
      <c r="CM119" s="54"/>
      <c r="CN119" s="55"/>
      <c r="CO119" s="54"/>
      <c r="CP119" s="9"/>
      <c r="CQ119" s="8"/>
      <c r="CR119" s="10"/>
      <c r="CS119" s="8"/>
      <c r="CT119" s="54"/>
      <c r="CU119" s="55"/>
      <c r="CV119" s="54"/>
      <c r="CW119" s="9"/>
      <c r="CX119" s="8"/>
      <c r="CY119" s="10"/>
      <c r="CZ119" s="8"/>
      <c r="DA119" s="54"/>
      <c r="DB119" s="55"/>
      <c r="DC119" s="54"/>
    </row>
    <row r="120" spans="1:107" ht="12.75">
      <c r="A120" s="8" t="s">
        <v>89</v>
      </c>
      <c r="B120" s="8"/>
      <c r="C120" s="8"/>
      <c r="D120" s="9">
        <f>6030199.19+3819614.21</f>
        <v>9849813.4</v>
      </c>
      <c r="E120" s="14">
        <f>+D120/$D$123</f>
        <v>0.16348132729037365</v>
      </c>
      <c r="F120" s="10">
        <f>5468+4180</f>
        <v>9648</v>
      </c>
      <c r="G120" s="14">
        <f>+F120/$F$123</f>
        <v>0.12599741423217062</v>
      </c>
      <c r="H120" s="8"/>
      <c r="I120" s="8"/>
      <c r="J120" s="9">
        <v>7411357.340000004</v>
      </c>
      <c r="K120" s="14">
        <f>+J120/J123</f>
        <v>0.17346981856061772</v>
      </c>
      <c r="L120" s="10">
        <v>8350</v>
      </c>
      <c r="M120" s="14">
        <f>+L120/L123</f>
        <v>0.13680450881447015</v>
      </c>
      <c r="N120" s="56"/>
      <c r="O120" s="55"/>
      <c r="P120" s="56"/>
      <c r="Q120" s="9">
        <v>8770906.020000007</v>
      </c>
      <c r="R120" s="14">
        <v>0.1771834120943235</v>
      </c>
      <c r="S120" s="10">
        <v>9492</v>
      </c>
      <c r="T120" s="14">
        <f>+S120/$S$123</f>
        <v>0.14466204373999847</v>
      </c>
      <c r="U120" s="56"/>
      <c r="V120" s="55"/>
      <c r="W120" s="56"/>
      <c r="X120" s="9">
        <v>8465200.480000012</v>
      </c>
      <c r="Y120" s="14">
        <v>0.19095720324935117</v>
      </c>
      <c r="Z120" s="10">
        <v>8913</v>
      </c>
      <c r="AA120" s="14">
        <v>0.15535994422171867</v>
      </c>
      <c r="AB120" s="56"/>
      <c r="AC120" s="55"/>
      <c r="AD120" s="56"/>
      <c r="AE120" s="9">
        <v>7248590.730000008</v>
      </c>
      <c r="AF120" s="14">
        <v>0.19388681655345127</v>
      </c>
      <c r="AG120" s="10">
        <v>8085</v>
      </c>
      <c r="AH120" s="14">
        <v>0.1622223559862758</v>
      </c>
      <c r="AI120" s="56"/>
      <c r="AJ120" s="55"/>
      <c r="AK120" s="56"/>
      <c r="AL120" s="9">
        <v>6817742.9799999995</v>
      </c>
      <c r="AM120" s="14">
        <v>0.1951944025676825</v>
      </c>
      <c r="AN120" s="10">
        <v>7859</v>
      </c>
      <c r="AO120" s="14">
        <v>0.1672305564421747</v>
      </c>
      <c r="AP120" s="56"/>
      <c r="AQ120" s="55"/>
      <c r="AR120" s="56"/>
      <c r="AS120" s="9">
        <v>6027554.130000005</v>
      </c>
      <c r="AT120" s="14">
        <v>0.18831326712360152</v>
      </c>
      <c r="AU120" s="10">
        <v>6988</v>
      </c>
      <c r="AV120" s="14">
        <v>0.1659502719133677</v>
      </c>
      <c r="AW120" s="56"/>
      <c r="AX120" s="55"/>
      <c r="AY120" s="56"/>
      <c r="AZ120" s="9">
        <v>5417014.339999997</v>
      </c>
      <c r="BA120" s="14">
        <v>0.15444885241848277</v>
      </c>
      <c r="BB120" s="10">
        <v>6119</v>
      </c>
      <c r="BC120" s="14">
        <v>0.14242156223815286</v>
      </c>
      <c r="BD120" s="56"/>
      <c r="BE120" s="55"/>
      <c r="BF120" s="56"/>
      <c r="BG120" s="9">
        <v>5031516.4600000065</v>
      </c>
      <c r="BH120" s="14">
        <v>0.16998666732526418</v>
      </c>
      <c r="BI120" s="10">
        <v>5675</v>
      </c>
      <c r="BJ120" s="14">
        <v>0.1520428667113195</v>
      </c>
      <c r="BK120" s="56"/>
      <c r="BL120" s="55"/>
      <c r="BM120" s="56"/>
      <c r="BN120" s="9">
        <v>4393819.92</v>
      </c>
      <c r="BO120" s="14">
        <v>0.16857308838997775</v>
      </c>
      <c r="BP120" s="10">
        <v>4994</v>
      </c>
      <c r="BQ120" s="14">
        <v>0.1517010935601458</v>
      </c>
      <c r="BR120" s="56"/>
      <c r="BS120" s="55"/>
      <c r="BT120" s="56"/>
      <c r="BU120" s="9">
        <v>3936866.83</v>
      </c>
      <c r="BV120" s="14">
        <v>0.16249101033064917</v>
      </c>
      <c r="BW120" s="10">
        <v>4526</v>
      </c>
      <c r="BX120" s="14">
        <v>0.1477684547324431</v>
      </c>
      <c r="BY120" s="56"/>
      <c r="BZ120" s="55"/>
      <c r="CA120" s="56"/>
      <c r="CB120" s="9">
        <v>3840591.5699999947</v>
      </c>
      <c r="CC120" s="14">
        <v>0.15110513899015834</v>
      </c>
      <c r="CD120" s="10">
        <v>4224</v>
      </c>
      <c r="CE120" s="14">
        <v>0.13883775966342363</v>
      </c>
      <c r="CF120" s="56"/>
      <c r="CG120" s="55"/>
      <c r="CH120" s="56"/>
      <c r="CI120" s="9">
        <v>3205792.02</v>
      </c>
      <c r="CJ120" s="14">
        <v>0.1710235853266362</v>
      </c>
      <c r="CK120" s="10">
        <v>3722</v>
      </c>
      <c r="CL120" s="14">
        <v>0.1565824328301728</v>
      </c>
      <c r="CM120" s="56"/>
      <c r="CN120" s="55"/>
      <c r="CO120" s="56"/>
      <c r="CP120" s="9">
        <v>2622380.31</v>
      </c>
      <c r="CQ120" s="14">
        <v>0.18315549305925022</v>
      </c>
      <c r="CR120" s="10">
        <v>3362</v>
      </c>
      <c r="CS120" s="14">
        <v>0.18033578286756424</v>
      </c>
      <c r="CT120" s="56"/>
      <c r="CU120" s="55"/>
      <c r="CV120" s="56"/>
      <c r="CW120" s="9">
        <v>2278016.99</v>
      </c>
      <c r="CX120" s="14">
        <v>0.15535046437504785</v>
      </c>
      <c r="CY120" s="10">
        <v>2985</v>
      </c>
      <c r="CZ120" s="14">
        <v>0.16960227272727274</v>
      </c>
      <c r="DA120" s="56"/>
      <c r="DB120" s="55"/>
      <c r="DC120" s="56"/>
    </row>
    <row r="121" spans="1:107" ht="12.75">
      <c r="A121" s="8" t="s">
        <v>90</v>
      </c>
      <c r="B121" s="8"/>
      <c r="C121" s="8"/>
      <c r="D121" s="9">
        <f>11286339.16+34172033.53+4942201.91</f>
        <v>50400574.599999994</v>
      </c>
      <c r="E121" s="14">
        <f>+D121/$D$123</f>
        <v>0.8365186727096263</v>
      </c>
      <c r="F121" s="10">
        <f>12949+49027+4949</f>
        <v>66925</v>
      </c>
      <c r="G121" s="14">
        <f>+F121/$F$123</f>
        <v>0.8740025857678294</v>
      </c>
      <c r="H121" s="8"/>
      <c r="I121" s="8"/>
      <c r="J121" s="9">
        <v>35312831.80999995</v>
      </c>
      <c r="K121" s="14">
        <f>+J121/J123</f>
        <v>0.8265301814393823</v>
      </c>
      <c r="L121" s="10">
        <v>52686</v>
      </c>
      <c r="M121" s="14">
        <f>+L121/$L$123</f>
        <v>0.8631954911855299</v>
      </c>
      <c r="N121" s="56"/>
      <c r="O121" s="55"/>
      <c r="P121" s="56"/>
      <c r="Q121" s="9">
        <v>40730940.210000455</v>
      </c>
      <c r="R121" s="14">
        <v>0.8228165879056765</v>
      </c>
      <c r="S121" s="10">
        <v>56123</v>
      </c>
      <c r="T121" s="14">
        <f>+S121/$S$123</f>
        <v>0.8553379562600015</v>
      </c>
      <c r="U121" s="56"/>
      <c r="V121" s="55"/>
      <c r="W121" s="56"/>
      <c r="X121" s="9">
        <v>35865153.840000086</v>
      </c>
      <c r="Y121" s="14">
        <v>0.8090427967506488</v>
      </c>
      <c r="Z121" s="10">
        <v>48457</v>
      </c>
      <c r="AA121" s="14">
        <v>0.8446400557782814</v>
      </c>
      <c r="AB121" s="56"/>
      <c r="AC121" s="55"/>
      <c r="AD121" s="56"/>
      <c r="AE121" s="9">
        <v>30137090.5599999</v>
      </c>
      <c r="AF121" s="14">
        <v>0.8061131834465487</v>
      </c>
      <c r="AG121" s="10">
        <v>41754</v>
      </c>
      <c r="AH121" s="14">
        <v>0.8377776440137242</v>
      </c>
      <c r="AI121" s="56"/>
      <c r="AJ121" s="55"/>
      <c r="AK121" s="56"/>
      <c r="AL121" s="9">
        <v>28110220.58000008</v>
      </c>
      <c r="AM121" s="14">
        <v>0.8048055974323176</v>
      </c>
      <c r="AN121" s="10">
        <v>39136</v>
      </c>
      <c r="AO121" s="14">
        <v>0.8327694435578253</v>
      </c>
      <c r="AP121" s="56"/>
      <c r="AQ121" s="55"/>
      <c r="AR121" s="56"/>
      <c r="AS121" s="9">
        <v>25980568.410000067</v>
      </c>
      <c r="AT121" s="14">
        <v>0.8116867328763985</v>
      </c>
      <c r="AU121" s="10">
        <v>35121</v>
      </c>
      <c r="AV121" s="14">
        <v>0.8340497280866324</v>
      </c>
      <c r="AW121" s="56"/>
      <c r="AX121" s="55"/>
      <c r="AY121" s="56"/>
      <c r="AZ121" s="9">
        <v>29656178.21000012</v>
      </c>
      <c r="BA121" s="14">
        <v>0.8455511475815173</v>
      </c>
      <c r="BB121" s="10">
        <v>36845</v>
      </c>
      <c r="BC121" s="14">
        <v>0.8575784377618472</v>
      </c>
      <c r="BD121" s="56"/>
      <c r="BE121" s="55"/>
      <c r="BF121" s="56"/>
      <c r="BG121" s="9">
        <v>24567960.599999983</v>
      </c>
      <c r="BH121" s="14">
        <v>0.8300133326747359</v>
      </c>
      <c r="BI121" s="10">
        <v>31650</v>
      </c>
      <c r="BJ121" s="14">
        <v>0.8479571332886805</v>
      </c>
      <c r="BK121" s="56"/>
      <c r="BL121" s="55"/>
      <c r="BM121" s="56"/>
      <c r="BN121" s="9">
        <v>21670956.8600001</v>
      </c>
      <c r="BO121" s="14">
        <v>0.8314269116100221</v>
      </c>
      <c r="BP121" s="10">
        <v>27926</v>
      </c>
      <c r="BQ121" s="14">
        <v>0.8482989064398542</v>
      </c>
      <c r="BR121" s="56"/>
      <c r="BS121" s="55"/>
      <c r="BT121" s="56"/>
      <c r="BU121" s="9">
        <v>20291346.299999982</v>
      </c>
      <c r="BV121" s="14">
        <v>0.8375089896693507</v>
      </c>
      <c r="BW121" s="10">
        <v>26103</v>
      </c>
      <c r="BX121" s="14">
        <v>0.8522315452675568</v>
      </c>
      <c r="BY121" s="56"/>
      <c r="BZ121" s="55"/>
      <c r="CA121" s="56"/>
      <c r="CB121" s="9">
        <v>21576092.440000072</v>
      </c>
      <c r="CC121" s="14">
        <v>0.8488948610098417</v>
      </c>
      <c r="CD121" s="10">
        <v>26200</v>
      </c>
      <c r="CE121" s="14">
        <v>0.8611622403365764</v>
      </c>
      <c r="CF121" s="56"/>
      <c r="CG121" s="55"/>
      <c r="CH121" s="56"/>
      <c r="CI121" s="9">
        <v>15541569.93</v>
      </c>
      <c r="CJ121" s="14">
        <v>0.8289764146733637</v>
      </c>
      <c r="CK121" s="10">
        <v>20068</v>
      </c>
      <c r="CL121" s="14">
        <v>0.8434175671698272</v>
      </c>
      <c r="CM121" s="56"/>
      <c r="CN121" s="55"/>
      <c r="CO121" s="56"/>
      <c r="CP121" s="9">
        <v>11695401.079999972</v>
      </c>
      <c r="CQ121" s="14">
        <v>0.8168445069407497</v>
      </c>
      <c r="CR121" s="10">
        <v>15281</v>
      </c>
      <c r="CS121" s="14">
        <v>0.8196642171324358</v>
      </c>
      <c r="CT121" s="56"/>
      <c r="CU121" s="55"/>
      <c r="CV121" s="56"/>
      <c r="CW121" s="9">
        <v>12385711.239999996</v>
      </c>
      <c r="CX121" s="14">
        <v>0.8446495356249523</v>
      </c>
      <c r="CY121" s="10">
        <v>14615</v>
      </c>
      <c r="CZ121" s="14">
        <v>0.8303977272727273</v>
      </c>
      <c r="DA121" s="56"/>
      <c r="DB121" s="55"/>
      <c r="DC121" s="56"/>
    </row>
    <row r="122" spans="1:107" ht="12.75">
      <c r="A122" s="8"/>
      <c r="B122" s="8"/>
      <c r="C122" s="8"/>
      <c r="D122" s="9"/>
      <c r="E122" s="8"/>
      <c r="F122" s="10"/>
      <c r="G122" s="8"/>
      <c r="H122" s="8"/>
      <c r="I122" s="8"/>
      <c r="J122" s="9"/>
      <c r="K122" s="8"/>
      <c r="L122" s="10"/>
      <c r="M122" s="8"/>
      <c r="N122" s="54"/>
      <c r="O122" s="55"/>
      <c r="P122" s="54"/>
      <c r="Q122" s="9"/>
      <c r="R122" s="8"/>
      <c r="S122" s="10"/>
      <c r="T122" s="8"/>
      <c r="U122" s="54"/>
      <c r="V122" s="55"/>
      <c r="W122" s="54"/>
      <c r="X122" s="9"/>
      <c r="Y122" s="8"/>
      <c r="Z122" s="10"/>
      <c r="AA122" s="8"/>
      <c r="AB122" s="54"/>
      <c r="AC122" s="55"/>
      <c r="AD122" s="54"/>
      <c r="AE122" s="9"/>
      <c r="AF122" s="8"/>
      <c r="AG122" s="10"/>
      <c r="AH122" s="8"/>
      <c r="AI122" s="54"/>
      <c r="AJ122" s="55"/>
      <c r="AK122" s="54"/>
      <c r="AL122" s="9"/>
      <c r="AM122" s="8"/>
      <c r="AN122" s="10"/>
      <c r="AO122" s="8"/>
      <c r="AP122" s="54"/>
      <c r="AQ122" s="55"/>
      <c r="AR122" s="54"/>
      <c r="AS122" s="9"/>
      <c r="AT122" s="8"/>
      <c r="AU122" s="10"/>
      <c r="AV122" s="8"/>
      <c r="AW122" s="54"/>
      <c r="AX122" s="55"/>
      <c r="AY122" s="54"/>
      <c r="AZ122" s="9"/>
      <c r="BA122" s="8"/>
      <c r="BB122" s="10"/>
      <c r="BC122" s="8"/>
      <c r="BD122" s="54"/>
      <c r="BE122" s="55"/>
      <c r="BF122" s="54"/>
      <c r="BG122" s="9"/>
      <c r="BH122" s="8"/>
      <c r="BI122" s="10"/>
      <c r="BJ122" s="8"/>
      <c r="BK122" s="54"/>
      <c r="BL122" s="55"/>
      <c r="BM122" s="54"/>
      <c r="BN122" s="9"/>
      <c r="BO122" s="8"/>
      <c r="BP122" s="10"/>
      <c r="BQ122" s="8"/>
      <c r="BR122" s="54"/>
      <c r="BS122" s="55"/>
      <c r="BT122" s="54"/>
      <c r="BU122" s="9"/>
      <c r="BV122" s="8"/>
      <c r="BW122" s="10"/>
      <c r="BX122" s="8"/>
      <c r="BY122" s="54"/>
      <c r="BZ122" s="55"/>
      <c r="CA122" s="54"/>
      <c r="CB122" s="9"/>
      <c r="CC122" s="8"/>
      <c r="CD122" s="10"/>
      <c r="CE122" s="8"/>
      <c r="CF122" s="54"/>
      <c r="CG122" s="55"/>
      <c r="CH122" s="54"/>
      <c r="CI122" s="9"/>
      <c r="CJ122" s="8"/>
      <c r="CK122" s="10"/>
      <c r="CL122" s="8"/>
      <c r="CM122" s="54"/>
      <c r="CN122" s="55"/>
      <c r="CO122" s="54"/>
      <c r="CP122" s="9"/>
      <c r="CQ122" s="8"/>
      <c r="CR122" s="10"/>
      <c r="CS122" s="8"/>
      <c r="CT122" s="54"/>
      <c r="CU122" s="55"/>
      <c r="CV122" s="54"/>
      <c r="CW122" s="9"/>
      <c r="CX122" s="8"/>
      <c r="CY122" s="10"/>
      <c r="CZ122" s="8"/>
      <c r="DA122" s="54"/>
      <c r="DB122" s="55"/>
      <c r="DC122" s="54"/>
    </row>
    <row r="123" spans="1:107" ht="13.5" thickBot="1">
      <c r="A123" s="8"/>
      <c r="B123" s="8"/>
      <c r="C123" s="8"/>
      <c r="D123" s="21">
        <f>SUM(D120:D122)</f>
        <v>60250387.99999999</v>
      </c>
      <c r="E123" s="8"/>
      <c r="F123" s="22">
        <f>SUM(F120:F122)</f>
        <v>76573</v>
      </c>
      <c r="G123" s="8"/>
      <c r="H123" s="8"/>
      <c r="I123" s="8"/>
      <c r="J123" s="21">
        <f>SUM(J120:J121)</f>
        <v>42724189.149999954</v>
      </c>
      <c r="K123" s="8"/>
      <c r="L123" s="22">
        <f>SUM(L120:L121)</f>
        <v>61036</v>
      </c>
      <c r="M123" s="8"/>
      <c r="N123" s="54"/>
      <c r="O123" s="31"/>
      <c r="P123" s="54"/>
      <c r="Q123" s="21">
        <f>SUM(Q120:Q121)</f>
        <v>49501846.230000466</v>
      </c>
      <c r="R123" s="8"/>
      <c r="S123" s="22">
        <f>SUM(S120:S121)</f>
        <v>65615</v>
      </c>
      <c r="T123" s="8"/>
      <c r="U123" s="54"/>
      <c r="V123" s="31"/>
      <c r="W123" s="54"/>
      <c r="X123" s="21">
        <f>SUM(X120:X121)</f>
        <v>44330354.3200001</v>
      </c>
      <c r="Y123" s="8"/>
      <c r="Z123" s="22">
        <f>SUM(Z120:Z121)</f>
        <v>57370</v>
      </c>
      <c r="AA123" s="8"/>
      <c r="AB123" s="54"/>
      <c r="AC123" s="31"/>
      <c r="AD123" s="54"/>
      <c r="AE123" s="21">
        <f>SUM(AE120:AE121)</f>
        <v>37385681.28999991</v>
      </c>
      <c r="AF123" s="8"/>
      <c r="AG123" s="22">
        <f>SUM(AG120:AG121)</f>
        <v>49839</v>
      </c>
      <c r="AH123" s="8"/>
      <c r="AI123" s="54"/>
      <c r="AJ123" s="31"/>
      <c r="AK123" s="54"/>
      <c r="AL123" s="21">
        <f>SUM(AL120:AL121)</f>
        <v>34927963.56000008</v>
      </c>
      <c r="AM123" s="8"/>
      <c r="AN123" s="22">
        <f>SUM(AN120:AN121)</f>
        <v>46995</v>
      </c>
      <c r="AO123" s="8"/>
      <c r="AP123" s="54"/>
      <c r="AQ123" s="31"/>
      <c r="AR123" s="54"/>
      <c r="AS123" s="21">
        <f>SUM(AS120:AS121)</f>
        <v>32008122.540000074</v>
      </c>
      <c r="AT123" s="8"/>
      <c r="AU123" s="22">
        <f>SUM(AU120:AU121)</f>
        <v>42109</v>
      </c>
      <c r="AV123" s="8"/>
      <c r="AW123" s="54"/>
      <c r="AX123" s="31"/>
      <c r="AY123" s="54"/>
      <c r="AZ123" s="21">
        <f>SUM(AZ120:AZ121)</f>
        <v>35073192.550000116</v>
      </c>
      <c r="BA123" s="8"/>
      <c r="BB123" s="22">
        <f>SUM(BB120:BB121)</f>
        <v>42964</v>
      </c>
      <c r="BC123" s="8"/>
      <c r="BD123" s="54"/>
      <c r="BE123" s="31"/>
      <c r="BF123" s="54"/>
      <c r="BG123" s="21">
        <f>SUM(BG120:BG121)</f>
        <v>29599477.059999987</v>
      </c>
      <c r="BH123" s="8"/>
      <c r="BI123" s="22">
        <f>SUM(BI120:BI121)</f>
        <v>37325</v>
      </c>
      <c r="BJ123" s="8"/>
      <c r="BK123" s="54"/>
      <c r="BL123" s="31"/>
      <c r="BM123" s="54"/>
      <c r="BN123" s="21">
        <f>SUM(BN120:BN121)</f>
        <v>26064776.780000098</v>
      </c>
      <c r="BO123" s="8"/>
      <c r="BP123" s="22">
        <f>SUM(BP120:BP121)</f>
        <v>32920</v>
      </c>
      <c r="BQ123" s="8"/>
      <c r="BR123" s="54"/>
      <c r="BS123" s="31"/>
      <c r="BT123" s="54"/>
      <c r="BU123" s="21">
        <f>SUM(BU120:BU121)</f>
        <v>24228213.12999998</v>
      </c>
      <c r="BV123" s="8"/>
      <c r="BW123" s="22">
        <f>SUM(BW120:BW121)</f>
        <v>30629</v>
      </c>
      <c r="BX123" s="8"/>
      <c r="BY123" s="54"/>
      <c r="BZ123" s="31"/>
      <c r="CA123" s="54"/>
      <c r="CB123" s="21">
        <f>SUM(CB120:CB121)</f>
        <v>25416684.010000065</v>
      </c>
      <c r="CC123" s="8"/>
      <c r="CD123" s="22">
        <f>SUM(CD120:CD121)</f>
        <v>30424</v>
      </c>
      <c r="CE123" s="8"/>
      <c r="CF123" s="54"/>
      <c r="CG123" s="31"/>
      <c r="CH123" s="54"/>
      <c r="CI123" s="21">
        <f>SUM(CI120:CI121)</f>
        <v>18747361.95</v>
      </c>
      <c r="CJ123" s="8"/>
      <c r="CK123" s="22">
        <f>SUM(CK120:CK121)</f>
        <v>23790</v>
      </c>
      <c r="CL123" s="8"/>
      <c r="CM123" s="54"/>
      <c r="CN123" s="31"/>
      <c r="CO123" s="54"/>
      <c r="CP123" s="21">
        <f>SUM(CP120:CP121)</f>
        <v>14317781.389999973</v>
      </c>
      <c r="CQ123" s="8"/>
      <c r="CR123" s="22">
        <f>SUM(CR120:CR121)</f>
        <v>18643</v>
      </c>
      <c r="CS123" s="8"/>
      <c r="CT123" s="54"/>
      <c r="CU123" s="31"/>
      <c r="CV123" s="54"/>
      <c r="CW123" s="21">
        <f>SUM(CW120:CW121)</f>
        <v>14663728.229999997</v>
      </c>
      <c r="CX123" s="8"/>
      <c r="CY123" s="22">
        <f>SUM(CY120:CY121)</f>
        <v>17600</v>
      </c>
      <c r="CZ123" s="8"/>
      <c r="DA123" s="54"/>
      <c r="DB123" s="31"/>
      <c r="DC123" s="54"/>
    </row>
    <row r="124" spans="1:107" ht="13.5" thickTop="1">
      <c r="A124" s="8"/>
      <c r="B124" s="8"/>
      <c r="C124" s="8"/>
      <c r="D124" s="9"/>
      <c r="E124" s="8"/>
      <c r="F124" s="10"/>
      <c r="G124" s="8"/>
      <c r="H124" s="8"/>
      <c r="I124" s="8"/>
      <c r="J124" s="8"/>
      <c r="K124" s="8"/>
      <c r="L124" s="8"/>
      <c r="M124" s="9"/>
      <c r="N124" s="8"/>
      <c r="O124" s="10"/>
      <c r="P124" s="8"/>
      <c r="Q124" s="8"/>
      <c r="R124" s="8"/>
      <c r="S124" s="8"/>
      <c r="T124" s="9"/>
      <c r="U124" s="8"/>
      <c r="V124" s="10"/>
      <c r="W124" s="8"/>
      <c r="X124" s="8"/>
      <c r="Y124" s="8"/>
      <c r="Z124" s="8"/>
      <c r="AA124" s="9"/>
      <c r="AB124" s="8"/>
      <c r="AC124" s="10"/>
      <c r="AD124" s="8"/>
      <c r="AE124" s="8"/>
      <c r="AF124" s="8"/>
      <c r="AG124" s="8"/>
      <c r="AH124" s="9"/>
      <c r="AI124" s="8"/>
      <c r="AJ124" s="10"/>
      <c r="AK124" s="8"/>
      <c r="AL124" s="8"/>
      <c r="AM124" s="8"/>
      <c r="AN124" s="8"/>
      <c r="AO124" s="9"/>
      <c r="AP124" s="8"/>
      <c r="AQ124" s="10"/>
      <c r="AR124" s="8"/>
      <c r="AS124" s="8"/>
      <c r="AT124" s="8"/>
      <c r="AU124" s="8"/>
      <c r="AV124" s="9"/>
      <c r="AW124" s="8"/>
      <c r="AX124" s="10"/>
      <c r="AY124" s="8"/>
      <c r="AZ124" s="8"/>
      <c r="BA124" s="8"/>
      <c r="BB124" s="8"/>
      <c r="BC124" s="9"/>
      <c r="BD124" s="8"/>
      <c r="BE124" s="10"/>
      <c r="BF124" s="8"/>
      <c r="BG124" s="8"/>
      <c r="BH124" s="8"/>
      <c r="BI124" s="8"/>
      <c r="BJ124" s="9"/>
      <c r="BK124" s="8"/>
      <c r="BL124" s="10"/>
      <c r="BM124" s="8"/>
      <c r="BN124" s="8"/>
      <c r="BO124" s="8"/>
      <c r="BP124" s="8"/>
      <c r="BQ124" s="9"/>
      <c r="BR124" s="8"/>
      <c r="BS124" s="10"/>
      <c r="BT124" s="8"/>
      <c r="BU124" s="8"/>
      <c r="BV124" s="8"/>
      <c r="BW124" s="8"/>
      <c r="BX124" s="9"/>
      <c r="BY124" s="8"/>
      <c r="BZ124" s="10"/>
      <c r="CA124" s="8"/>
      <c r="CB124" s="8"/>
      <c r="CC124" s="8"/>
      <c r="CD124" s="8"/>
      <c r="CE124" s="9"/>
      <c r="CF124" s="8"/>
      <c r="CG124" s="10"/>
      <c r="CH124" s="8"/>
      <c r="CI124" s="32"/>
      <c r="CJ124" s="95"/>
      <c r="CK124" s="8"/>
      <c r="CL124" s="9"/>
      <c r="CM124" s="8"/>
      <c r="CN124" s="10"/>
      <c r="CO124" s="8"/>
      <c r="CP124" s="32"/>
      <c r="CQ124" s="95"/>
      <c r="CR124" s="8"/>
      <c r="CS124" s="9"/>
      <c r="CT124" s="8"/>
      <c r="CU124" s="10"/>
      <c r="CV124" s="8"/>
      <c r="CW124" s="32"/>
      <c r="CX124" s="95"/>
      <c r="CY124" s="8"/>
      <c r="CZ124" s="9"/>
      <c r="DA124" s="8"/>
      <c r="DB124" s="10"/>
      <c r="DC124" s="8"/>
    </row>
    <row r="125" spans="1:107" ht="12.75">
      <c r="A125" s="8"/>
      <c r="B125" s="8"/>
      <c r="C125" s="8"/>
      <c r="D125" s="9"/>
      <c r="E125" s="8"/>
      <c r="F125" s="10"/>
      <c r="G125" s="8"/>
      <c r="H125" s="8"/>
      <c r="I125" s="8"/>
      <c r="J125" s="8"/>
      <c r="K125" s="8"/>
      <c r="L125" s="8"/>
      <c r="M125" s="9"/>
      <c r="N125" s="8"/>
      <c r="O125" s="10"/>
      <c r="P125" s="8"/>
      <c r="Q125" s="8"/>
      <c r="R125" s="8"/>
      <c r="S125" s="8"/>
      <c r="T125" s="9"/>
      <c r="U125" s="8"/>
      <c r="V125" s="10"/>
      <c r="W125" s="8"/>
      <c r="X125" s="8"/>
      <c r="Y125" s="8"/>
      <c r="Z125" s="8"/>
      <c r="AA125" s="9"/>
      <c r="AB125" s="8"/>
      <c r="AC125" s="10"/>
      <c r="AD125" s="8"/>
      <c r="AE125" s="8"/>
      <c r="AF125" s="8"/>
      <c r="AG125" s="8"/>
      <c r="AH125" s="9"/>
      <c r="AI125" s="8"/>
      <c r="AJ125" s="10"/>
      <c r="AK125" s="8"/>
      <c r="AL125" s="8"/>
      <c r="AM125" s="8"/>
      <c r="AN125" s="8"/>
      <c r="AO125" s="9"/>
      <c r="AP125" s="8"/>
      <c r="AQ125" s="10"/>
      <c r="AR125" s="8"/>
      <c r="AS125" s="8"/>
      <c r="AT125" s="8"/>
      <c r="AU125" s="8"/>
      <c r="AV125" s="9"/>
      <c r="AW125" s="8"/>
      <c r="AX125" s="10"/>
      <c r="AY125" s="8"/>
      <c r="AZ125" s="8"/>
      <c r="BA125" s="8"/>
      <c r="BB125" s="8"/>
      <c r="BC125" s="9"/>
      <c r="BD125" s="8"/>
      <c r="BE125" s="10"/>
      <c r="BF125" s="8"/>
      <c r="BG125" s="8"/>
      <c r="BH125" s="8"/>
      <c r="BI125" s="8"/>
      <c r="BJ125" s="9"/>
      <c r="BK125" s="8"/>
      <c r="BL125" s="10"/>
      <c r="BM125" s="8"/>
      <c r="BN125" s="8"/>
      <c r="BO125" s="8"/>
      <c r="BP125" s="8"/>
      <c r="BQ125" s="9"/>
      <c r="BR125" s="8"/>
      <c r="BS125" s="10"/>
      <c r="BT125" s="8"/>
      <c r="BU125" s="8"/>
      <c r="BV125" s="8"/>
      <c r="BW125" s="8"/>
      <c r="BX125" s="9"/>
      <c r="BY125" s="8"/>
      <c r="BZ125" s="10"/>
      <c r="CA125" s="8"/>
      <c r="CB125" s="8"/>
      <c r="CC125" s="8"/>
      <c r="CD125" s="8"/>
      <c r="CE125" s="9"/>
      <c r="CF125" s="8"/>
      <c r="CG125" s="10"/>
      <c r="CH125" s="8"/>
      <c r="CI125" s="8"/>
      <c r="CJ125" s="8"/>
      <c r="CK125" s="8"/>
      <c r="CL125" s="9"/>
      <c r="CM125" s="8"/>
      <c r="CN125" s="10"/>
      <c r="CO125" s="8"/>
      <c r="CP125" s="8"/>
      <c r="CQ125" s="8"/>
      <c r="CR125" s="8"/>
      <c r="CS125" s="9"/>
      <c r="CT125" s="8"/>
      <c r="CU125" s="10"/>
      <c r="CV125" s="8"/>
      <c r="CW125" s="8"/>
      <c r="CX125" s="8"/>
      <c r="CY125" s="8"/>
      <c r="CZ125" s="9"/>
      <c r="DA125" s="8"/>
      <c r="DB125" s="10"/>
      <c r="DC125" s="8"/>
    </row>
    <row r="126" spans="1:107" ht="12.75">
      <c r="A126" s="19" t="s">
        <v>117</v>
      </c>
      <c r="B126" s="8"/>
      <c r="C126" s="8"/>
      <c r="D126" s="9"/>
      <c r="E126" s="8"/>
      <c r="F126" s="10"/>
      <c r="G126" s="8"/>
      <c r="H126" s="8"/>
      <c r="I126" s="8"/>
      <c r="J126" s="19" t="s">
        <v>117</v>
      </c>
      <c r="K126" s="8"/>
      <c r="L126" s="8"/>
      <c r="M126" s="9"/>
      <c r="N126" s="8"/>
      <c r="O126" s="10"/>
      <c r="P126" s="8"/>
      <c r="Q126" s="19" t="s">
        <v>117</v>
      </c>
      <c r="R126" s="8"/>
      <c r="S126" s="8"/>
      <c r="T126" s="9"/>
      <c r="U126" s="8"/>
      <c r="V126" s="10"/>
      <c r="W126" s="8"/>
      <c r="X126" s="19" t="s">
        <v>117</v>
      </c>
      <c r="Y126" s="8"/>
      <c r="Z126" s="8"/>
      <c r="AA126" s="9"/>
      <c r="AB126" s="8"/>
      <c r="AC126" s="10"/>
      <c r="AD126" s="8"/>
      <c r="AE126" s="19" t="s">
        <v>117</v>
      </c>
      <c r="AF126" s="8"/>
      <c r="AG126" s="8"/>
      <c r="AH126" s="9"/>
      <c r="AI126" s="8"/>
      <c r="AJ126" s="10"/>
      <c r="AK126" s="8"/>
      <c r="AL126" s="19" t="s">
        <v>117</v>
      </c>
      <c r="AM126" s="8"/>
      <c r="AN126" s="8"/>
      <c r="AO126" s="9"/>
      <c r="AP126" s="8"/>
      <c r="AQ126" s="10"/>
      <c r="AR126" s="8"/>
      <c r="AS126" s="19" t="s">
        <v>117</v>
      </c>
      <c r="AT126" s="8"/>
      <c r="AU126" s="8"/>
      <c r="AV126" s="9"/>
      <c r="AW126" s="8"/>
      <c r="AX126" s="10"/>
      <c r="AY126" s="8"/>
      <c r="AZ126" s="19" t="s">
        <v>117</v>
      </c>
      <c r="BA126" s="8"/>
      <c r="BB126" s="8"/>
      <c r="BC126" s="9"/>
      <c r="BD126" s="8"/>
      <c r="BE126" s="10"/>
      <c r="BF126" s="8"/>
      <c r="BG126" s="19" t="s">
        <v>117</v>
      </c>
      <c r="BH126" s="8"/>
      <c r="BI126" s="8"/>
      <c r="BJ126" s="9"/>
      <c r="BK126" s="8"/>
      <c r="BL126" s="10"/>
      <c r="BM126" s="8"/>
      <c r="BN126" s="19" t="s">
        <v>117</v>
      </c>
      <c r="BO126" s="8"/>
      <c r="BP126" s="8"/>
      <c r="BQ126" s="9"/>
      <c r="BR126" s="8"/>
      <c r="BS126" s="10"/>
      <c r="BT126" s="8"/>
      <c r="BU126" s="19" t="s">
        <v>117</v>
      </c>
      <c r="BV126" s="8"/>
      <c r="BW126" s="8"/>
      <c r="BX126" s="9"/>
      <c r="BY126" s="8"/>
      <c r="BZ126" s="10"/>
      <c r="CA126" s="8"/>
      <c r="CB126" s="19" t="s">
        <v>117</v>
      </c>
      <c r="CC126" s="8"/>
      <c r="CD126" s="8"/>
      <c r="CE126" s="9"/>
      <c r="CF126" s="8"/>
      <c r="CG126" s="10"/>
      <c r="CH126" s="8"/>
      <c r="CI126" s="19" t="s">
        <v>117</v>
      </c>
      <c r="CJ126" s="8"/>
      <c r="CK126" s="8"/>
      <c r="CL126" s="9"/>
      <c r="CM126" s="8"/>
      <c r="CN126" s="10"/>
      <c r="CO126" s="8"/>
      <c r="CP126" s="19" t="s">
        <v>117</v>
      </c>
      <c r="CQ126" s="8"/>
      <c r="CR126" s="8"/>
      <c r="CS126" s="9"/>
      <c r="CT126" s="8"/>
      <c r="CU126" s="10"/>
      <c r="CV126" s="8"/>
      <c r="CW126" s="19" t="s">
        <v>117</v>
      </c>
      <c r="CX126" s="8"/>
      <c r="CY126" s="8"/>
      <c r="CZ126" s="9"/>
      <c r="DA126" s="8"/>
      <c r="DB126" s="10"/>
      <c r="DC126" s="8"/>
    </row>
    <row r="127" spans="1:107" ht="12.75">
      <c r="A127" s="19"/>
      <c r="B127" s="8"/>
      <c r="C127" s="8"/>
      <c r="D127" s="9"/>
      <c r="E127" s="8"/>
      <c r="F127" s="10"/>
      <c r="G127" s="8"/>
      <c r="H127" s="8"/>
      <c r="I127" s="8"/>
      <c r="J127" s="19"/>
      <c r="K127" s="8"/>
      <c r="L127" s="8"/>
      <c r="M127" s="9"/>
      <c r="N127" s="8"/>
      <c r="O127" s="10"/>
      <c r="P127" s="8"/>
      <c r="Q127" s="19"/>
      <c r="R127" s="8"/>
      <c r="S127" s="8"/>
      <c r="T127" s="9"/>
      <c r="U127" s="8"/>
      <c r="V127" s="10"/>
      <c r="W127" s="8"/>
      <c r="X127" s="19"/>
      <c r="Y127" s="8"/>
      <c r="Z127" s="8"/>
      <c r="AA127" s="9"/>
      <c r="AB127" s="8"/>
      <c r="AC127" s="10"/>
      <c r="AD127" s="8"/>
      <c r="AE127" s="19"/>
      <c r="AF127" s="8"/>
      <c r="AG127" s="8"/>
      <c r="AH127" s="9"/>
      <c r="AI127" s="8"/>
      <c r="AJ127" s="10"/>
      <c r="AK127" s="8"/>
      <c r="AL127" s="19"/>
      <c r="AM127" s="8"/>
      <c r="AN127" s="8"/>
      <c r="AO127" s="9"/>
      <c r="AP127" s="8"/>
      <c r="AQ127" s="10"/>
      <c r="AR127" s="8"/>
      <c r="AS127" s="19"/>
      <c r="AT127" s="8"/>
      <c r="AU127" s="8"/>
      <c r="AV127" s="9"/>
      <c r="AW127" s="8"/>
      <c r="AX127" s="10"/>
      <c r="AY127" s="8"/>
      <c r="AZ127" s="19"/>
      <c r="BA127" s="8"/>
      <c r="BB127" s="8"/>
      <c r="BC127" s="9"/>
      <c r="BD127" s="8"/>
      <c r="BE127" s="10"/>
      <c r="BF127" s="8"/>
      <c r="BG127" s="19"/>
      <c r="BH127" s="8"/>
      <c r="BI127" s="8"/>
      <c r="BJ127" s="9"/>
      <c r="BK127" s="8"/>
      <c r="BL127" s="10"/>
      <c r="BM127" s="8"/>
      <c r="BN127" s="19"/>
      <c r="BO127" s="8"/>
      <c r="BP127" s="8"/>
      <c r="BQ127" s="9"/>
      <c r="BR127" s="8"/>
      <c r="BS127" s="10"/>
      <c r="BT127" s="8"/>
      <c r="BU127" s="19"/>
      <c r="BV127" s="8"/>
      <c r="BW127" s="8"/>
      <c r="BX127" s="9"/>
      <c r="BY127" s="8"/>
      <c r="BZ127" s="10"/>
      <c r="CA127" s="8"/>
      <c r="CB127" s="19"/>
      <c r="CC127" s="8"/>
      <c r="CD127" s="8"/>
      <c r="CE127" s="9"/>
      <c r="CF127" s="8"/>
      <c r="CG127" s="10"/>
      <c r="CH127" s="8"/>
      <c r="CI127" s="19"/>
      <c r="CJ127" s="8"/>
      <c r="CK127" s="8"/>
      <c r="CL127" s="9"/>
      <c r="CM127" s="8"/>
      <c r="CN127" s="10"/>
      <c r="CO127" s="8"/>
      <c r="CP127" s="19"/>
      <c r="CQ127" s="8"/>
      <c r="CR127" s="8"/>
      <c r="CS127" s="9"/>
      <c r="CT127" s="8"/>
      <c r="CU127" s="10"/>
      <c r="CV127" s="8"/>
      <c r="CW127" s="19"/>
      <c r="CX127" s="8"/>
      <c r="CY127" s="8"/>
      <c r="CZ127" s="9"/>
      <c r="DA127" s="8"/>
      <c r="DB127" s="10"/>
      <c r="DC127" s="8"/>
    </row>
    <row r="128" spans="1:107" s="29" customFormat="1" ht="12.75">
      <c r="A128" s="25"/>
      <c r="B128" s="26"/>
      <c r="C128" s="26"/>
      <c r="D128" s="27" t="s">
        <v>99</v>
      </c>
      <c r="E128" s="26" t="s">
        <v>100</v>
      </c>
      <c r="F128" s="28" t="s">
        <v>101</v>
      </c>
      <c r="G128" s="26" t="s">
        <v>100</v>
      </c>
      <c r="H128" s="25"/>
      <c r="I128" s="25"/>
      <c r="J128" s="27" t="s">
        <v>99</v>
      </c>
      <c r="K128" s="26" t="s">
        <v>100</v>
      </c>
      <c r="L128" s="28" t="s">
        <v>101</v>
      </c>
      <c r="M128" s="26" t="s">
        <v>100</v>
      </c>
      <c r="N128" s="64"/>
      <c r="O128" s="65"/>
      <c r="P128" s="64"/>
      <c r="Q128" s="27" t="s">
        <v>99</v>
      </c>
      <c r="R128" s="26" t="s">
        <v>100</v>
      </c>
      <c r="S128" s="28" t="s">
        <v>101</v>
      </c>
      <c r="T128" s="26" t="s">
        <v>100</v>
      </c>
      <c r="U128" s="64"/>
      <c r="V128" s="65"/>
      <c r="W128" s="64"/>
      <c r="X128" s="27" t="s">
        <v>99</v>
      </c>
      <c r="Y128" s="26" t="s">
        <v>100</v>
      </c>
      <c r="Z128" s="28" t="s">
        <v>101</v>
      </c>
      <c r="AA128" s="26" t="s">
        <v>100</v>
      </c>
      <c r="AB128" s="64"/>
      <c r="AC128" s="65"/>
      <c r="AD128" s="64"/>
      <c r="AE128" s="27" t="s">
        <v>99</v>
      </c>
      <c r="AF128" s="26" t="s">
        <v>100</v>
      </c>
      <c r="AG128" s="28" t="s">
        <v>101</v>
      </c>
      <c r="AH128" s="26" t="s">
        <v>100</v>
      </c>
      <c r="AI128" s="64"/>
      <c r="AJ128" s="65"/>
      <c r="AK128" s="64"/>
      <c r="AL128" s="27" t="s">
        <v>99</v>
      </c>
      <c r="AM128" s="26" t="s">
        <v>100</v>
      </c>
      <c r="AN128" s="28" t="s">
        <v>101</v>
      </c>
      <c r="AO128" s="26" t="s">
        <v>100</v>
      </c>
      <c r="AP128" s="64"/>
      <c r="AQ128" s="65"/>
      <c r="AR128" s="64"/>
      <c r="AS128" s="27" t="s">
        <v>99</v>
      </c>
      <c r="AT128" s="26" t="s">
        <v>100</v>
      </c>
      <c r="AU128" s="28" t="s">
        <v>101</v>
      </c>
      <c r="AV128" s="26" t="s">
        <v>100</v>
      </c>
      <c r="AW128" s="64"/>
      <c r="AX128" s="65"/>
      <c r="AY128" s="64"/>
      <c r="AZ128" s="89" t="s">
        <v>99</v>
      </c>
      <c r="BA128" s="44" t="s">
        <v>100</v>
      </c>
      <c r="BB128" s="88" t="s">
        <v>101</v>
      </c>
      <c r="BC128" s="44" t="s">
        <v>100</v>
      </c>
      <c r="BD128" s="64"/>
      <c r="BE128" s="65"/>
      <c r="BF128" s="64"/>
      <c r="BG128" s="89" t="s">
        <v>99</v>
      </c>
      <c r="BH128" s="44" t="s">
        <v>100</v>
      </c>
      <c r="BI128" s="88" t="s">
        <v>101</v>
      </c>
      <c r="BJ128" s="44" t="s">
        <v>100</v>
      </c>
      <c r="BK128" s="64"/>
      <c r="BL128" s="65"/>
      <c r="BM128" s="64"/>
      <c r="BN128" s="89" t="s">
        <v>99</v>
      </c>
      <c r="BO128" s="44" t="s">
        <v>100</v>
      </c>
      <c r="BP128" s="88" t="s">
        <v>101</v>
      </c>
      <c r="BQ128" s="44" t="s">
        <v>100</v>
      </c>
      <c r="BR128" s="64"/>
      <c r="BS128" s="65"/>
      <c r="BT128" s="64"/>
      <c r="BU128" s="89" t="s">
        <v>99</v>
      </c>
      <c r="BV128" s="44" t="s">
        <v>100</v>
      </c>
      <c r="BW128" s="88" t="s">
        <v>101</v>
      </c>
      <c r="BX128" s="44" t="s">
        <v>100</v>
      </c>
      <c r="BY128" s="64"/>
      <c r="BZ128" s="65"/>
      <c r="CA128" s="64"/>
      <c r="CB128" s="89" t="s">
        <v>99</v>
      </c>
      <c r="CC128" s="44" t="s">
        <v>100</v>
      </c>
      <c r="CD128" s="88" t="s">
        <v>101</v>
      </c>
      <c r="CE128" s="44" t="s">
        <v>100</v>
      </c>
      <c r="CF128" s="64"/>
      <c r="CG128" s="65"/>
      <c r="CH128" s="64"/>
      <c r="CI128" s="89" t="s">
        <v>99</v>
      </c>
      <c r="CJ128" s="44" t="s">
        <v>100</v>
      </c>
      <c r="CK128" s="88" t="s">
        <v>101</v>
      </c>
      <c r="CL128" s="44" t="s">
        <v>100</v>
      </c>
      <c r="CM128" s="64"/>
      <c r="CN128" s="65"/>
      <c r="CO128" s="64"/>
      <c r="CP128" s="89" t="s">
        <v>99</v>
      </c>
      <c r="CQ128" s="44" t="s">
        <v>100</v>
      </c>
      <c r="CR128" s="88" t="s">
        <v>101</v>
      </c>
      <c r="CS128" s="44" t="s">
        <v>100</v>
      </c>
      <c r="CT128" s="64"/>
      <c r="CU128" s="65"/>
      <c r="CV128" s="64"/>
      <c r="CW128" s="89" t="s">
        <v>99</v>
      </c>
      <c r="CX128" s="44" t="s">
        <v>100</v>
      </c>
      <c r="CY128" s="88" t="s">
        <v>101</v>
      </c>
      <c r="CZ128" s="44" t="s">
        <v>100</v>
      </c>
      <c r="DA128" s="64"/>
      <c r="DB128" s="65"/>
      <c r="DC128" s="64"/>
    </row>
    <row r="129" spans="1:107" ht="12.75">
      <c r="A129" s="12"/>
      <c r="B129" s="8"/>
      <c r="C129" s="8"/>
      <c r="D129" s="9"/>
      <c r="E129" s="8"/>
      <c r="F129" s="10"/>
      <c r="G129" s="8"/>
      <c r="H129" s="8"/>
      <c r="I129" s="8"/>
      <c r="J129" s="9"/>
      <c r="K129" s="8"/>
      <c r="L129" s="10"/>
      <c r="M129" s="8"/>
      <c r="N129" s="54"/>
      <c r="O129" s="55"/>
      <c r="P129" s="54"/>
      <c r="Q129" s="9"/>
      <c r="R129" s="8"/>
      <c r="S129" s="10"/>
      <c r="T129" s="8"/>
      <c r="U129" s="54"/>
      <c r="V129" s="55"/>
      <c r="W129" s="54"/>
      <c r="X129" s="9"/>
      <c r="Y129" s="8"/>
      <c r="Z129" s="10"/>
      <c r="AA129" s="8"/>
      <c r="AB129" s="54"/>
      <c r="AC129" s="55"/>
      <c r="AD129" s="54"/>
      <c r="AE129" s="9"/>
      <c r="AF129" s="8"/>
      <c r="AG129" s="10"/>
      <c r="AH129" s="8"/>
      <c r="AI129" s="54"/>
      <c r="AJ129" s="55"/>
      <c r="AK129" s="54"/>
      <c r="AL129" s="9"/>
      <c r="AM129" s="8"/>
      <c r="AN129" s="10"/>
      <c r="AO129" s="8"/>
      <c r="AP129" s="54"/>
      <c r="AQ129" s="55"/>
      <c r="AR129" s="54"/>
      <c r="AS129" s="9"/>
      <c r="AT129" s="8"/>
      <c r="AU129" s="10"/>
      <c r="AV129" s="8"/>
      <c r="AW129" s="54"/>
      <c r="AX129" s="55"/>
      <c r="AY129" s="54"/>
      <c r="AZ129" s="9"/>
      <c r="BA129" s="8"/>
      <c r="BB129" s="10"/>
      <c r="BC129" s="8"/>
      <c r="BD129" s="54"/>
      <c r="BE129" s="55"/>
      <c r="BF129" s="54"/>
      <c r="BG129" s="9"/>
      <c r="BH129" s="8"/>
      <c r="BI129" s="10"/>
      <c r="BJ129" s="8"/>
      <c r="BK129" s="54"/>
      <c r="BL129" s="55"/>
      <c r="BM129" s="54"/>
      <c r="BN129" s="9"/>
      <c r="BO129" s="8"/>
      <c r="BP129" s="10"/>
      <c r="BQ129" s="8"/>
      <c r="BR129" s="54"/>
      <c r="BS129" s="55"/>
      <c r="BT129" s="54"/>
      <c r="BU129" s="9"/>
      <c r="BV129" s="8"/>
      <c r="BW129" s="10"/>
      <c r="BX129" s="8"/>
      <c r="BY129" s="54"/>
      <c r="BZ129" s="55"/>
      <c r="CA129" s="54"/>
      <c r="CB129" s="9"/>
      <c r="CC129" s="8"/>
      <c r="CD129" s="10"/>
      <c r="CE129" s="8"/>
      <c r="CF129" s="54"/>
      <c r="CG129" s="55"/>
      <c r="CH129" s="54"/>
      <c r="CI129" s="9"/>
      <c r="CJ129" s="8"/>
      <c r="CK129" s="10"/>
      <c r="CL129" s="8"/>
      <c r="CM129" s="54"/>
      <c r="CN129" s="55"/>
      <c r="CO129" s="54"/>
      <c r="CP129" s="9"/>
      <c r="CQ129" s="8"/>
      <c r="CR129" s="10"/>
      <c r="CS129" s="8"/>
      <c r="CT129" s="54"/>
      <c r="CU129" s="55"/>
      <c r="CV129" s="54"/>
      <c r="CW129" s="9"/>
      <c r="CX129" s="8"/>
      <c r="CY129" s="10"/>
      <c r="CZ129" s="8"/>
      <c r="DA129" s="54"/>
      <c r="DB129" s="55"/>
      <c r="DC129" s="54"/>
    </row>
    <row r="130" spans="1:107" ht="12.75">
      <c r="A130" s="8" t="s">
        <v>91</v>
      </c>
      <c r="B130" s="8"/>
      <c r="C130" s="8"/>
      <c r="D130" s="9">
        <v>2023540.33</v>
      </c>
      <c r="E130" s="14">
        <f>+D130/$D$139</f>
        <v>0.033585515333112874</v>
      </c>
      <c r="F130" s="10">
        <v>2313</v>
      </c>
      <c r="G130" s="14">
        <f>+F130/$F$139</f>
        <v>0.030206469643346872</v>
      </c>
      <c r="H130" s="8"/>
      <c r="I130" s="8"/>
      <c r="J130" s="9">
        <v>1383273.08</v>
      </c>
      <c r="K130" s="14">
        <f>J130/J139</f>
        <v>0.03237681293712691</v>
      </c>
      <c r="L130" s="10">
        <v>1844</v>
      </c>
      <c r="M130" s="14">
        <f>+L130/L139</f>
        <v>0.030211678353758438</v>
      </c>
      <c r="N130" s="56"/>
      <c r="O130" s="55"/>
      <c r="P130" s="56"/>
      <c r="Q130" s="9">
        <v>1519301.28</v>
      </c>
      <c r="R130" s="14">
        <v>0.030691810421390704</v>
      </c>
      <c r="S130" s="10">
        <v>1883</v>
      </c>
      <c r="T130" s="14">
        <f>+S130/$S$139</f>
        <v>0.02869770631715309</v>
      </c>
      <c r="U130" s="56"/>
      <c r="V130" s="55"/>
      <c r="W130" s="56"/>
      <c r="X130" s="9">
        <v>1287920.25</v>
      </c>
      <c r="Y130" s="14">
        <v>0.029052784931586785</v>
      </c>
      <c r="Z130" s="10">
        <v>1575</v>
      </c>
      <c r="AA130" s="14">
        <v>0.027453372842949277</v>
      </c>
      <c r="AB130" s="56"/>
      <c r="AC130" s="55"/>
      <c r="AD130" s="56"/>
      <c r="AE130" s="9">
        <v>1053204.44</v>
      </c>
      <c r="AF130" s="14">
        <v>0.028171332008912815</v>
      </c>
      <c r="AG130" s="10">
        <v>1339</v>
      </c>
      <c r="AH130" s="14">
        <v>0.026866510162723973</v>
      </c>
      <c r="AI130" s="56"/>
      <c r="AJ130" s="55"/>
      <c r="AK130" s="56"/>
      <c r="AL130" s="9">
        <v>772159.62</v>
      </c>
      <c r="AM130" s="14">
        <v>0.022107204122380732</v>
      </c>
      <c r="AN130" s="10">
        <v>1069</v>
      </c>
      <c r="AO130" s="14">
        <v>0.02274710075539951</v>
      </c>
      <c r="AP130" s="56"/>
      <c r="AQ130" s="55"/>
      <c r="AR130" s="56"/>
      <c r="AS130" s="9">
        <v>610935.0699999994</v>
      </c>
      <c r="AT130" s="14">
        <v>0.019086876127661648</v>
      </c>
      <c r="AU130" s="10">
        <v>884</v>
      </c>
      <c r="AV130" s="14">
        <v>0.020993136859103756</v>
      </c>
      <c r="AW130" s="56"/>
      <c r="AX130" s="55"/>
      <c r="AY130" s="56"/>
      <c r="AZ130" s="9">
        <v>475517.02999999933</v>
      </c>
      <c r="BA130" s="14">
        <v>0.013557848471367496</v>
      </c>
      <c r="BB130" s="10">
        <v>723</v>
      </c>
      <c r="BC130" s="14">
        <v>0.016828042081742853</v>
      </c>
      <c r="BD130" s="56"/>
      <c r="BE130" s="55"/>
      <c r="BF130" s="56"/>
      <c r="BG130" s="9">
        <v>346118.52</v>
      </c>
      <c r="BH130" s="14">
        <v>0.011693399829273858</v>
      </c>
      <c r="BI130" s="10">
        <v>549</v>
      </c>
      <c r="BJ130" s="14">
        <v>0.014708640321500335</v>
      </c>
      <c r="BK130" s="56"/>
      <c r="BL130" s="55"/>
      <c r="BM130" s="56"/>
      <c r="BN130" s="9">
        <v>258304.31</v>
      </c>
      <c r="BO130" s="14">
        <v>0.009910091008268392</v>
      </c>
      <c r="BP130" s="10">
        <v>425</v>
      </c>
      <c r="BQ130" s="14">
        <v>0.012910085054678007</v>
      </c>
      <c r="BR130" s="56"/>
      <c r="BS130" s="55"/>
      <c r="BT130" s="56"/>
      <c r="BU130" s="9">
        <v>214384.84</v>
      </c>
      <c r="BV130" s="14">
        <v>0.008848561751115784</v>
      </c>
      <c r="BW130" s="10">
        <v>339</v>
      </c>
      <c r="BX130" s="14">
        <v>0.011067942146331907</v>
      </c>
      <c r="BY130" s="56"/>
      <c r="BZ130" s="55"/>
      <c r="CA130" s="56"/>
      <c r="CB130" s="9">
        <v>179003.41</v>
      </c>
      <c r="CC130" s="14">
        <v>0.00704275230905698</v>
      </c>
      <c r="CD130" s="10">
        <v>274</v>
      </c>
      <c r="CE130" s="14">
        <v>0.009006047856955036</v>
      </c>
      <c r="CF130" s="56"/>
      <c r="CG130" s="55"/>
      <c r="CH130" s="56"/>
      <c r="CI130" s="9">
        <v>156730.7</v>
      </c>
      <c r="CJ130" s="14">
        <v>0.008360146905895732</v>
      </c>
      <c r="CK130" s="10">
        <v>234</v>
      </c>
      <c r="CL130" s="14">
        <v>0.009836065573770493</v>
      </c>
      <c r="CM130" s="56"/>
      <c r="CN130" s="55"/>
      <c r="CO130" s="56"/>
      <c r="CP130" s="9">
        <v>141593.58</v>
      </c>
      <c r="CQ130" s="14">
        <v>0.009889351998270719</v>
      </c>
      <c r="CR130" s="10">
        <v>196</v>
      </c>
      <c r="CS130" s="14">
        <v>0.010513329399774715</v>
      </c>
      <c r="CT130" s="56"/>
      <c r="CU130" s="55"/>
      <c r="CV130" s="56"/>
      <c r="CW130" s="9">
        <v>126355.46</v>
      </c>
      <c r="CX130" s="14">
        <v>0.008616871372554135</v>
      </c>
      <c r="CY130" s="10">
        <v>168</v>
      </c>
      <c r="CZ130" s="14">
        <v>0.009545454545454546</v>
      </c>
      <c r="DA130" s="56"/>
      <c r="DB130" s="55"/>
      <c r="DC130" s="56"/>
    </row>
    <row r="131" spans="1:107" ht="12.75">
      <c r="A131" s="8" t="s">
        <v>92</v>
      </c>
      <c r="B131" s="8"/>
      <c r="C131" s="8"/>
      <c r="D131" s="9">
        <f>6449771.57+1206775.97</f>
        <v>7656547.54</v>
      </c>
      <c r="E131" s="14">
        <f aca="true" t="shared" si="23" ref="E131:E137">+D131/$D$139</f>
        <v>0.1270788088534799</v>
      </c>
      <c r="F131" s="10">
        <f>8308+2367</f>
        <v>10675</v>
      </c>
      <c r="G131" s="14">
        <f aca="true" t="shared" si="24" ref="G131:G137">+F131/$F$139</f>
        <v>0.1394094524179541</v>
      </c>
      <c r="H131" s="8"/>
      <c r="I131" s="8"/>
      <c r="J131" s="9">
        <v>5203376.860000009</v>
      </c>
      <c r="K131" s="14">
        <f>J131/$J$139</f>
        <v>0.12178994999136038</v>
      </c>
      <c r="L131" s="10">
        <v>8318</v>
      </c>
      <c r="M131" s="14">
        <f>+L131/$L$139</f>
        <v>0.13628022806212728</v>
      </c>
      <c r="N131" s="56"/>
      <c r="O131" s="55"/>
      <c r="P131" s="56"/>
      <c r="Q131" s="9">
        <v>6033817.189999987</v>
      </c>
      <c r="R131" s="14">
        <v>0.12189075053817394</v>
      </c>
      <c r="S131" s="10">
        <v>9095</v>
      </c>
      <c r="T131" s="14">
        <f aca="true" t="shared" si="25" ref="T131:T137">+S131/$S$139</f>
        <v>0.13861159795778405</v>
      </c>
      <c r="U131" s="56"/>
      <c r="V131" s="55"/>
      <c r="W131" s="56"/>
      <c r="X131" s="9">
        <v>5343310.9900000105</v>
      </c>
      <c r="Y131" s="14">
        <v>0.12053391117583126</v>
      </c>
      <c r="Z131" s="10">
        <v>8090</v>
      </c>
      <c r="AA131" s="14">
        <v>0.14101446749172042</v>
      </c>
      <c r="AB131" s="56"/>
      <c r="AC131" s="55"/>
      <c r="AD131" s="56"/>
      <c r="AE131" s="9">
        <v>4304531.78000001</v>
      </c>
      <c r="AF131" s="14">
        <v>0.11513851376974514</v>
      </c>
      <c r="AG131" s="10">
        <v>6861</v>
      </c>
      <c r="AH131" s="14">
        <v>0.13766327574790826</v>
      </c>
      <c r="AI131" s="56"/>
      <c r="AJ131" s="55"/>
      <c r="AK131" s="56"/>
      <c r="AL131" s="9">
        <v>4333963.54</v>
      </c>
      <c r="AM131" s="14">
        <v>0.12408291518499212</v>
      </c>
      <c r="AN131" s="10">
        <v>6683</v>
      </c>
      <c r="AO131" s="14">
        <v>0.14220661772528992</v>
      </c>
      <c r="AP131" s="56"/>
      <c r="AQ131" s="55"/>
      <c r="AR131" s="56"/>
      <c r="AS131" s="9">
        <v>3925649.069999986</v>
      </c>
      <c r="AT131" s="14">
        <v>0.12264540243165277</v>
      </c>
      <c r="AU131" s="10">
        <v>6297</v>
      </c>
      <c r="AV131" s="14">
        <v>0.14954047828255243</v>
      </c>
      <c r="AW131" s="56"/>
      <c r="AX131" s="55"/>
      <c r="AY131" s="56"/>
      <c r="AZ131" s="9">
        <v>4480554.4</v>
      </c>
      <c r="BA131" s="14">
        <v>0.12774868993213354</v>
      </c>
      <c r="BB131" s="10">
        <v>6435</v>
      </c>
      <c r="BC131" s="14">
        <v>0.1497765571175868</v>
      </c>
      <c r="BD131" s="56"/>
      <c r="BE131" s="55"/>
      <c r="BF131" s="56"/>
      <c r="BG131" s="9">
        <v>3144879.37</v>
      </c>
      <c r="BH131" s="14">
        <v>0.10624780173058873</v>
      </c>
      <c r="BI131" s="10">
        <v>4860</v>
      </c>
      <c r="BJ131" s="14">
        <v>0.1302076356329538</v>
      </c>
      <c r="BK131" s="56"/>
      <c r="BL131" s="55"/>
      <c r="BM131" s="56"/>
      <c r="BN131" s="9">
        <v>2062873.86</v>
      </c>
      <c r="BO131" s="14">
        <v>0.07914412148669885</v>
      </c>
      <c r="BP131" s="10">
        <v>3534</v>
      </c>
      <c r="BQ131" s="14">
        <v>0.10735115431348724</v>
      </c>
      <c r="BR131" s="56"/>
      <c r="BS131" s="55"/>
      <c r="BT131" s="56"/>
      <c r="BU131" s="9">
        <v>1330750.45</v>
      </c>
      <c r="BV131" s="14">
        <v>0.054925653941529276</v>
      </c>
      <c r="BW131" s="10">
        <v>2422</v>
      </c>
      <c r="BX131" s="14">
        <v>0.07907538607202325</v>
      </c>
      <c r="BY131" s="56"/>
      <c r="BZ131" s="55"/>
      <c r="CA131" s="56"/>
      <c r="CB131" s="9">
        <v>891645.67</v>
      </c>
      <c r="CC131" s="14">
        <v>0.035081117176779794</v>
      </c>
      <c r="CD131" s="10">
        <v>1630</v>
      </c>
      <c r="CE131" s="14">
        <v>0.05357612411254273</v>
      </c>
      <c r="CF131" s="56"/>
      <c r="CG131" s="55"/>
      <c r="CH131" s="56"/>
      <c r="CI131" s="9">
        <v>611030.36</v>
      </c>
      <c r="CJ131" s="14">
        <v>0.03259287155332271</v>
      </c>
      <c r="CK131" s="10">
        <v>1291</v>
      </c>
      <c r="CL131" s="14">
        <v>0.05426649852879361</v>
      </c>
      <c r="CM131" s="56"/>
      <c r="CN131" s="55"/>
      <c r="CO131" s="56"/>
      <c r="CP131" s="9">
        <v>437761.11</v>
      </c>
      <c r="CQ131" s="14">
        <v>0.030574646872716348</v>
      </c>
      <c r="CR131" s="10">
        <v>837</v>
      </c>
      <c r="CS131" s="14">
        <v>0.04489620769189508</v>
      </c>
      <c r="CT131" s="56"/>
      <c r="CU131" s="55"/>
      <c r="CV131" s="56"/>
      <c r="CW131" s="9">
        <v>352639.72</v>
      </c>
      <c r="CX131" s="14">
        <v>0.02404843532755535</v>
      </c>
      <c r="CY131" s="10">
        <v>671</v>
      </c>
      <c r="CZ131" s="14">
        <v>0.038125</v>
      </c>
      <c r="DA131" s="56"/>
      <c r="DB131" s="55"/>
      <c r="DC131" s="56"/>
    </row>
    <row r="132" spans="1:107" ht="12.75">
      <c r="A132" s="8" t="s">
        <v>93</v>
      </c>
      <c r="B132" s="8"/>
      <c r="C132" s="8"/>
      <c r="D132" s="9">
        <v>1119929.1</v>
      </c>
      <c r="E132" s="14">
        <f t="shared" si="23"/>
        <v>0.01858791515168334</v>
      </c>
      <c r="F132" s="10">
        <v>1221</v>
      </c>
      <c r="G132" s="14">
        <f t="shared" si="24"/>
        <v>0.01594556828124796</v>
      </c>
      <c r="H132" s="8"/>
      <c r="I132" s="8"/>
      <c r="J132" s="9">
        <v>824944.81</v>
      </c>
      <c r="K132" s="14">
        <f aca="true" t="shared" si="26" ref="K132:K137">J132/$J$139</f>
        <v>0.01930861243741091</v>
      </c>
      <c r="L132" s="10">
        <v>1044</v>
      </c>
      <c r="M132" s="14">
        <f aca="true" t="shared" si="27" ref="M132:M137">+L132/$L$139</f>
        <v>0.017104659545186446</v>
      </c>
      <c r="N132" s="56"/>
      <c r="O132" s="55"/>
      <c r="P132" s="56"/>
      <c r="Q132" s="9">
        <v>921146.8099999989</v>
      </c>
      <c r="R132" s="14">
        <v>0.01860833241895829</v>
      </c>
      <c r="S132" s="10">
        <v>1134</v>
      </c>
      <c r="T132" s="14">
        <f t="shared" si="25"/>
        <v>0.01728263354415911</v>
      </c>
      <c r="U132" s="56"/>
      <c r="V132" s="55"/>
      <c r="W132" s="56"/>
      <c r="X132" s="9">
        <v>771751.3100000011</v>
      </c>
      <c r="Y132" s="14">
        <v>0.01740909410353661</v>
      </c>
      <c r="Z132" s="10">
        <v>1046</v>
      </c>
      <c r="AA132" s="14">
        <v>0.01823252571030155</v>
      </c>
      <c r="AB132" s="56"/>
      <c r="AC132" s="55"/>
      <c r="AD132" s="56"/>
      <c r="AE132" s="9">
        <v>616180.65</v>
      </c>
      <c r="AF132" s="14">
        <v>0.016481728531848684</v>
      </c>
      <c r="AG132" s="10">
        <v>950</v>
      </c>
      <c r="AH132" s="14">
        <v>0.01906137763598788</v>
      </c>
      <c r="AI132" s="56"/>
      <c r="AJ132" s="55"/>
      <c r="AK132" s="56"/>
      <c r="AL132" s="9">
        <v>488381.64</v>
      </c>
      <c r="AM132" s="14">
        <v>0.013982539782516812</v>
      </c>
      <c r="AN132" s="10">
        <v>843</v>
      </c>
      <c r="AO132" s="14">
        <v>0.01793807851899138</v>
      </c>
      <c r="AP132" s="56"/>
      <c r="AQ132" s="55"/>
      <c r="AR132" s="56"/>
      <c r="AS132" s="9">
        <v>377655.27</v>
      </c>
      <c r="AT132" s="14">
        <v>0.011798732322648662</v>
      </c>
      <c r="AU132" s="10">
        <v>616</v>
      </c>
      <c r="AV132" s="14">
        <v>0.014628701702723883</v>
      </c>
      <c r="AW132" s="56"/>
      <c r="AX132" s="55"/>
      <c r="AY132" s="56"/>
      <c r="AZ132" s="9">
        <v>341277.71</v>
      </c>
      <c r="BA132" s="14">
        <v>0.009730443258436625</v>
      </c>
      <c r="BB132" s="10">
        <v>530</v>
      </c>
      <c r="BC132" s="14">
        <v>0.012335909133227818</v>
      </c>
      <c r="BD132" s="56"/>
      <c r="BE132" s="55"/>
      <c r="BF132" s="56"/>
      <c r="BG132" s="9">
        <v>277015.75</v>
      </c>
      <c r="BH132" s="14">
        <v>0.009358805543708453</v>
      </c>
      <c r="BI132" s="10">
        <v>404</v>
      </c>
      <c r="BJ132" s="14">
        <v>0.010823844608171467</v>
      </c>
      <c r="BK132" s="56"/>
      <c r="BL132" s="55"/>
      <c r="BM132" s="56"/>
      <c r="BN132" s="9">
        <v>228043.5</v>
      </c>
      <c r="BO132" s="14">
        <v>0.008749106195107827</v>
      </c>
      <c r="BP132" s="10">
        <v>320</v>
      </c>
      <c r="BQ132" s="14">
        <v>0.009720534629404616</v>
      </c>
      <c r="BR132" s="56"/>
      <c r="BS132" s="55"/>
      <c r="BT132" s="56"/>
      <c r="BU132" s="9">
        <v>201586.73</v>
      </c>
      <c r="BV132" s="14">
        <v>0.008320330059767778</v>
      </c>
      <c r="BW132" s="10">
        <v>268</v>
      </c>
      <c r="BX132" s="14">
        <v>0.008749877567011656</v>
      </c>
      <c r="BY132" s="56"/>
      <c r="BZ132" s="55"/>
      <c r="CA132" s="56"/>
      <c r="CB132" s="9">
        <v>181101.25</v>
      </c>
      <c r="CC132" s="14">
        <v>0.0071252902199494695</v>
      </c>
      <c r="CD132" s="10">
        <v>242</v>
      </c>
      <c r="CE132" s="14">
        <v>0.007954246647383645</v>
      </c>
      <c r="CF132" s="56"/>
      <c r="CG132" s="55"/>
      <c r="CH132" s="56"/>
      <c r="CI132" s="9">
        <v>163586.02</v>
      </c>
      <c r="CJ132" s="14">
        <v>0.008725815420659748</v>
      </c>
      <c r="CK132" s="10">
        <v>212</v>
      </c>
      <c r="CL132" s="14">
        <v>0.00891130727196301</v>
      </c>
      <c r="CM132" s="56"/>
      <c r="CN132" s="55"/>
      <c r="CO132" s="56"/>
      <c r="CP132" s="9">
        <v>154970.78</v>
      </c>
      <c r="CQ132" s="14">
        <v>0.010823658762399895</v>
      </c>
      <c r="CR132" s="10">
        <v>191</v>
      </c>
      <c r="CS132" s="14">
        <v>0.010245132221209033</v>
      </c>
      <c r="CT132" s="56"/>
      <c r="CU132" s="55"/>
      <c r="CV132" s="56"/>
      <c r="CW132" s="9">
        <v>143593.36</v>
      </c>
      <c r="CX132" s="14">
        <v>0.009792418254603806</v>
      </c>
      <c r="CY132" s="10">
        <v>179</v>
      </c>
      <c r="CZ132" s="14">
        <v>0.010170454545454545</v>
      </c>
      <c r="DA132" s="56"/>
      <c r="DB132" s="55"/>
      <c r="DC132" s="56"/>
    </row>
    <row r="133" spans="1:107" ht="12.75">
      <c r="A133" s="8" t="s">
        <v>94</v>
      </c>
      <c r="B133" s="8"/>
      <c r="C133" s="8"/>
      <c r="D133" s="9">
        <v>48062211.87</v>
      </c>
      <c r="E133" s="14">
        <f t="shared" si="23"/>
        <v>0.7977079229763632</v>
      </c>
      <c r="F133" s="10">
        <v>59913</v>
      </c>
      <c r="G133" s="14">
        <f t="shared" si="24"/>
        <v>0.7824298381936191</v>
      </c>
      <c r="H133" s="8"/>
      <c r="I133" s="8"/>
      <c r="J133" s="9">
        <v>34352998.710000366</v>
      </c>
      <c r="K133" s="14">
        <f t="shared" si="26"/>
        <v>0.804064381172692</v>
      </c>
      <c r="L133" s="10">
        <v>47919</v>
      </c>
      <c r="M133" s="14">
        <f t="shared" si="27"/>
        <v>0.7850940428599515</v>
      </c>
      <c r="N133" s="56"/>
      <c r="O133" s="55"/>
      <c r="P133" s="56"/>
      <c r="Q133" s="9">
        <v>39959372.22000027</v>
      </c>
      <c r="R133" s="14">
        <v>0.8072299371287549</v>
      </c>
      <c r="S133" s="10">
        <v>51562</v>
      </c>
      <c r="T133" s="14">
        <f t="shared" si="25"/>
        <v>0.7858264116436791</v>
      </c>
      <c r="U133" s="56"/>
      <c r="V133" s="55"/>
      <c r="W133" s="56"/>
      <c r="X133" s="9">
        <v>36004474.93000039</v>
      </c>
      <c r="Y133" s="14">
        <v>0.812185588910501</v>
      </c>
      <c r="Z133" s="10">
        <v>45022</v>
      </c>
      <c r="AA133" s="14">
        <v>0.7847655569112777</v>
      </c>
      <c r="AB133" s="56"/>
      <c r="AC133" s="55"/>
      <c r="AD133" s="56"/>
      <c r="AE133" s="9">
        <v>30739811.63</v>
      </c>
      <c r="AF133" s="14">
        <v>0.8222348923255293</v>
      </c>
      <c r="AG133" s="10">
        <v>39424</v>
      </c>
      <c r="AH133" s="14">
        <v>0.7910271072854592</v>
      </c>
      <c r="AI133" s="56"/>
      <c r="AJ133" s="55"/>
      <c r="AK133" s="56"/>
      <c r="AL133" s="9">
        <v>28762409.350000326</v>
      </c>
      <c r="AM133" s="14">
        <v>0.8234779935163271</v>
      </c>
      <c r="AN133" s="10">
        <v>37291</v>
      </c>
      <c r="AO133" s="14">
        <v>0.7935099478667943</v>
      </c>
      <c r="AP133" s="56"/>
      <c r="AQ133" s="55"/>
      <c r="AR133" s="56"/>
      <c r="AS133" s="9">
        <v>26592612.600000124</v>
      </c>
      <c r="AT133" s="14">
        <v>0.8308082602085639</v>
      </c>
      <c r="AU133" s="10">
        <v>33310</v>
      </c>
      <c r="AV133" s="14">
        <v>0.7910422949963191</v>
      </c>
      <c r="AW133" s="56"/>
      <c r="AX133" s="55"/>
      <c r="AY133" s="56"/>
      <c r="AZ133" s="9">
        <v>29103821.760000404</v>
      </c>
      <c r="BA133" s="14">
        <v>0.8298024686093243</v>
      </c>
      <c r="BB133" s="10">
        <v>34048</v>
      </c>
      <c r="BC133" s="14">
        <v>0.7924774229587561</v>
      </c>
      <c r="BD133" s="56"/>
      <c r="BE133" s="55"/>
      <c r="BF133" s="56"/>
      <c r="BG133" s="9">
        <v>25066699.300000142</v>
      </c>
      <c r="BH133" s="14">
        <v>0.8468629107598189</v>
      </c>
      <c r="BI133" s="10">
        <v>30324</v>
      </c>
      <c r="BJ133" s="14">
        <v>0.8124313462826523</v>
      </c>
      <c r="BK133" s="56"/>
      <c r="BL133" s="55"/>
      <c r="BM133" s="56"/>
      <c r="BN133" s="9">
        <v>22346304.02999982</v>
      </c>
      <c r="BO133" s="14">
        <v>0.8573372493696797</v>
      </c>
      <c r="BP133" s="10">
        <v>27277</v>
      </c>
      <c r="BQ133" s="14">
        <v>0.828584447144593</v>
      </c>
      <c r="BR133" s="56"/>
      <c r="BS133" s="55"/>
      <c r="BT133" s="56"/>
      <c r="BU133" s="9">
        <v>20928835.940000158</v>
      </c>
      <c r="BV133" s="14">
        <v>0.8638208615593469</v>
      </c>
      <c r="BW133" s="10">
        <v>26011</v>
      </c>
      <c r="BX133" s="14">
        <v>0.8492278559535081</v>
      </c>
      <c r="BY133" s="56"/>
      <c r="BZ133" s="55"/>
      <c r="CA133" s="56"/>
      <c r="CB133" s="9">
        <v>23053094.420000143</v>
      </c>
      <c r="CC133" s="14">
        <v>0.907006374668307</v>
      </c>
      <c r="CD133" s="10">
        <v>27133</v>
      </c>
      <c r="CE133" s="14">
        <v>0.8918288193531423</v>
      </c>
      <c r="CF133" s="56"/>
      <c r="CG133" s="55"/>
      <c r="CH133" s="56"/>
      <c r="CI133" s="9">
        <v>17050904.270000007</v>
      </c>
      <c r="CJ133" s="14">
        <v>0.9095095254188543</v>
      </c>
      <c r="CK133" s="10">
        <v>21216</v>
      </c>
      <c r="CL133" s="14">
        <v>0.8918032786885246</v>
      </c>
      <c r="CM133" s="56"/>
      <c r="CN133" s="55"/>
      <c r="CO133" s="56"/>
      <c r="CP133" s="9">
        <v>12986941.120000012</v>
      </c>
      <c r="CQ133" s="14">
        <v>0.907049826104378</v>
      </c>
      <c r="CR133" s="10">
        <v>16812</v>
      </c>
      <c r="CS133" s="14">
        <v>0.9017861932092475</v>
      </c>
      <c r="CT133" s="56"/>
      <c r="CU133" s="55"/>
      <c r="CV133" s="56"/>
      <c r="CW133" s="9">
        <v>13041383.549999941</v>
      </c>
      <c r="CX133" s="14">
        <v>0.8893634241883408</v>
      </c>
      <c r="CY133" s="10">
        <v>15588</v>
      </c>
      <c r="CZ133" s="14">
        <v>0.8856818181818182</v>
      </c>
      <c r="DA133" s="56"/>
      <c r="DB133" s="55"/>
      <c r="DC133" s="56"/>
    </row>
    <row r="134" spans="1:107" ht="12.75">
      <c r="A134" s="8" t="s">
        <v>88</v>
      </c>
      <c r="B134" s="8"/>
      <c r="C134" s="8"/>
      <c r="D134" s="9">
        <v>1022482.31</v>
      </c>
      <c r="E134" s="14">
        <f t="shared" si="23"/>
        <v>0.016970551459353257</v>
      </c>
      <c r="F134" s="10">
        <v>2040</v>
      </c>
      <c r="G134" s="14">
        <f t="shared" si="24"/>
        <v>0.026641244302822144</v>
      </c>
      <c r="H134" s="8"/>
      <c r="I134" s="8"/>
      <c r="J134" s="9">
        <v>677691.680000335</v>
      </c>
      <c r="K134" s="14">
        <f t="shared" si="26"/>
        <v>0.015862013849368133</v>
      </c>
      <c r="L134" s="10">
        <v>1581</v>
      </c>
      <c r="M134" s="14">
        <f t="shared" si="27"/>
        <v>0.025902745920440395</v>
      </c>
      <c r="N134" s="56"/>
      <c r="O134" s="55"/>
      <c r="P134" s="56"/>
      <c r="Q134" s="9">
        <v>830502.5999998376</v>
      </c>
      <c r="R134" s="14">
        <v>0.01677720455396914</v>
      </c>
      <c r="S134" s="10">
        <v>1630</v>
      </c>
      <c r="T134" s="14">
        <f t="shared" si="25"/>
        <v>0.02484188066753029</v>
      </c>
      <c r="U134" s="56"/>
      <c r="V134" s="55"/>
      <c r="W134" s="56"/>
      <c r="X134" s="9">
        <v>737805.9399996251</v>
      </c>
      <c r="Y134" s="14">
        <v>0.016643357611666045</v>
      </c>
      <c r="Z134" s="10">
        <v>1388</v>
      </c>
      <c r="AA134" s="14">
        <v>0.02419382952762768</v>
      </c>
      <c r="AB134" s="56"/>
      <c r="AC134" s="55"/>
      <c r="AD134" s="56"/>
      <c r="AE134" s="9">
        <v>522316.970000349</v>
      </c>
      <c r="AF134" s="14">
        <v>0.01397104324376869</v>
      </c>
      <c r="AG134" s="10">
        <v>1064</v>
      </c>
      <c r="AH134" s="14">
        <v>0.021348742952306425</v>
      </c>
      <c r="AI134" s="56"/>
      <c r="AJ134" s="55"/>
      <c r="AK134" s="56"/>
      <c r="AL134" s="9">
        <v>443440.22999984026</v>
      </c>
      <c r="AM134" s="14">
        <v>0.012695851255057773</v>
      </c>
      <c r="AN134" s="10">
        <v>934</v>
      </c>
      <c r="AO134" s="14">
        <v>0.019874454729226512</v>
      </c>
      <c r="AP134" s="56"/>
      <c r="AQ134" s="55"/>
      <c r="AR134" s="56"/>
      <c r="AS134" s="9">
        <v>387780.09000013396</v>
      </c>
      <c r="AT134" s="14">
        <v>0.012115052656260263</v>
      </c>
      <c r="AU134" s="10">
        <v>818</v>
      </c>
      <c r="AV134" s="14">
        <v>0.01942577596238334</v>
      </c>
      <c r="AW134" s="56"/>
      <c r="AX134" s="55"/>
      <c r="AY134" s="56"/>
      <c r="AZ134" s="9">
        <v>567461.5199998841</v>
      </c>
      <c r="BA134" s="14">
        <v>0.016179351771040282</v>
      </c>
      <c r="BB134" s="10">
        <v>1045</v>
      </c>
      <c r="BC134" s="14">
        <v>0.02432268876268504</v>
      </c>
      <c r="BD134" s="56"/>
      <c r="BE134" s="55"/>
      <c r="BF134" s="56"/>
      <c r="BG134" s="9">
        <v>682568.2299999259</v>
      </c>
      <c r="BH134" s="14">
        <v>0.023060144901084427</v>
      </c>
      <c r="BI134" s="10">
        <v>1050</v>
      </c>
      <c r="BJ134" s="14">
        <v>0.02813127930341594</v>
      </c>
      <c r="BK134" s="56"/>
      <c r="BL134" s="55"/>
      <c r="BM134" s="56"/>
      <c r="BN134" s="9">
        <v>1011853.4100000933</v>
      </c>
      <c r="BO134" s="14">
        <v>0.038820720336132375</v>
      </c>
      <c r="BP134" s="10">
        <v>1177</v>
      </c>
      <c r="BQ134" s="14">
        <v>0.03575334143377886</v>
      </c>
      <c r="BR134" s="56"/>
      <c r="BS134" s="55"/>
      <c r="BT134" s="56"/>
      <c r="BU134" s="9">
        <v>1384178.5099999271</v>
      </c>
      <c r="BV134" s="14">
        <v>0.05713085412336894</v>
      </c>
      <c r="BW134" s="10">
        <v>1427</v>
      </c>
      <c r="BX134" s="14">
        <v>0.04658983316464788</v>
      </c>
      <c r="BY134" s="56"/>
      <c r="BZ134" s="55"/>
      <c r="CA134" s="56"/>
      <c r="CB134" s="9">
        <v>999768.8799999878</v>
      </c>
      <c r="CC134" s="14">
        <v>0.03933514220842622</v>
      </c>
      <c r="CD134" s="10">
        <v>1051</v>
      </c>
      <c r="CE134" s="14">
        <v>0.034545095976860375</v>
      </c>
      <c r="CF134" s="56"/>
      <c r="CG134" s="55"/>
      <c r="CH134" s="56"/>
      <c r="CI134" s="9">
        <v>676822.7000000142</v>
      </c>
      <c r="CJ134" s="14">
        <v>0.036102290114477326</v>
      </c>
      <c r="CK134" s="10">
        <v>771</v>
      </c>
      <c r="CL134" s="14">
        <v>0.03240857503152585</v>
      </c>
      <c r="CM134" s="56"/>
      <c r="CN134" s="55"/>
      <c r="CO134" s="56"/>
      <c r="CP134" s="9">
        <v>519028.9800000023</v>
      </c>
      <c r="CQ134" s="14">
        <v>0.036250656848449185</v>
      </c>
      <c r="CR134" s="10">
        <v>557</v>
      </c>
      <c r="CS134" s="14">
        <v>0.029877165692216916</v>
      </c>
      <c r="CT134" s="56"/>
      <c r="CU134" s="55"/>
      <c r="CV134" s="56"/>
      <c r="CW134" s="9">
        <v>907204.7199999485</v>
      </c>
      <c r="CX134" s="14">
        <v>0.06186726225216977</v>
      </c>
      <c r="CY134" s="10">
        <v>924</v>
      </c>
      <c r="CZ134" s="14">
        <v>0.0525</v>
      </c>
      <c r="DA134" s="56"/>
      <c r="DB134" s="55"/>
      <c r="DC134" s="56"/>
    </row>
    <row r="135" spans="1:107" ht="12.75">
      <c r="A135" s="8" t="s">
        <v>95</v>
      </c>
      <c r="B135" s="8"/>
      <c r="C135" s="8"/>
      <c r="D135" s="9">
        <v>44473.55</v>
      </c>
      <c r="E135" s="14">
        <f t="shared" si="23"/>
        <v>0.0007381454539346702</v>
      </c>
      <c r="F135" s="10">
        <v>161</v>
      </c>
      <c r="G135" s="14">
        <f t="shared" si="24"/>
        <v>0.0021025687905658653</v>
      </c>
      <c r="H135" s="8"/>
      <c r="I135" s="8"/>
      <c r="J135" s="9">
        <v>26201.21</v>
      </c>
      <c r="K135" s="14">
        <f t="shared" si="26"/>
        <v>0.0006132640670606983</v>
      </c>
      <c r="L135" s="10">
        <v>114</v>
      </c>
      <c r="M135" s="14">
        <f t="shared" si="27"/>
        <v>0.0018677501802215086</v>
      </c>
      <c r="N135" s="56"/>
      <c r="O135" s="55"/>
      <c r="P135" s="56"/>
      <c r="Q135" s="9">
        <v>29556.32</v>
      </c>
      <c r="R135" s="14">
        <v>0.0005970751042834374</v>
      </c>
      <c r="S135" s="10">
        <v>112</v>
      </c>
      <c r="T135" s="14">
        <f t="shared" si="25"/>
        <v>0.0017069267697934923</v>
      </c>
      <c r="U135" s="56"/>
      <c r="V135" s="55"/>
      <c r="W135" s="56"/>
      <c r="X135" s="9">
        <v>23262.83</v>
      </c>
      <c r="Y135" s="14">
        <v>0.0005247607504347148</v>
      </c>
      <c r="Z135" s="10">
        <v>87</v>
      </c>
      <c r="AA135" s="14">
        <v>0.0015164720237057696</v>
      </c>
      <c r="AB135" s="56"/>
      <c r="AC135" s="55"/>
      <c r="AD135" s="56"/>
      <c r="AE135" s="9">
        <v>19228.11</v>
      </c>
      <c r="AF135" s="14">
        <v>0.0005143174963389792</v>
      </c>
      <c r="AG135" s="10">
        <v>70</v>
      </c>
      <c r="AH135" s="14">
        <v>0.0014045225626517386</v>
      </c>
      <c r="AI135" s="56"/>
      <c r="AJ135" s="55"/>
      <c r="AK135" s="56"/>
      <c r="AL135" s="9">
        <v>21013.38</v>
      </c>
      <c r="AM135" s="14">
        <v>0.0006016205314662181</v>
      </c>
      <c r="AN135" s="10">
        <v>71</v>
      </c>
      <c r="AO135" s="14">
        <v>0.0015107990211724652</v>
      </c>
      <c r="AP135" s="56"/>
      <c r="AQ135" s="55"/>
      <c r="AR135" s="56"/>
      <c r="AS135" s="9">
        <v>28051.78</v>
      </c>
      <c r="AT135" s="14">
        <v>0.0008763956700348157</v>
      </c>
      <c r="AU135" s="10">
        <v>91</v>
      </c>
      <c r="AV135" s="14">
        <v>0.00216105820608421</v>
      </c>
      <c r="AW135" s="56"/>
      <c r="AX135" s="55"/>
      <c r="AY135" s="56"/>
      <c r="AZ135" s="9">
        <v>38008.52</v>
      </c>
      <c r="BA135" s="14">
        <v>0.0010836914816298835</v>
      </c>
      <c r="BB135" s="10">
        <v>117</v>
      </c>
      <c r="BC135" s="14">
        <v>0.0027232101294106695</v>
      </c>
      <c r="BD135" s="56"/>
      <c r="BE135" s="55"/>
      <c r="BF135" s="56"/>
      <c r="BG135" s="9">
        <v>23600.64</v>
      </c>
      <c r="BH135" s="14">
        <v>0.000797333005314924</v>
      </c>
      <c r="BI135" s="10">
        <v>89</v>
      </c>
      <c r="BJ135" s="14">
        <v>0.0023844608171466847</v>
      </c>
      <c r="BK135" s="56"/>
      <c r="BL135" s="55"/>
      <c r="BM135" s="56"/>
      <c r="BN135" s="9">
        <v>13400.72</v>
      </c>
      <c r="BO135" s="14">
        <v>0.0005141313932250008</v>
      </c>
      <c r="BP135" s="10">
        <v>60</v>
      </c>
      <c r="BQ135" s="14">
        <v>0.0018226002430133657</v>
      </c>
      <c r="BR135" s="56"/>
      <c r="BS135" s="55"/>
      <c r="BT135" s="56"/>
      <c r="BU135" s="9">
        <v>7268.01</v>
      </c>
      <c r="BV135" s="14">
        <v>0.0002999812640330681</v>
      </c>
      <c r="BW135" s="10">
        <v>32</v>
      </c>
      <c r="BX135" s="14">
        <v>0.001044761500538705</v>
      </c>
      <c r="BY135" s="56"/>
      <c r="BZ135" s="55"/>
      <c r="CA135" s="56"/>
      <c r="CB135" s="9">
        <v>5311.65</v>
      </c>
      <c r="CC135" s="14">
        <v>0.000208982808218025</v>
      </c>
      <c r="CD135" s="10">
        <v>13</v>
      </c>
      <c r="CE135" s="14">
        <v>0.0004272942413883776</v>
      </c>
      <c r="CF135" s="56"/>
      <c r="CG135" s="55"/>
      <c r="CH135" s="56"/>
      <c r="CI135" s="9">
        <v>5202.65</v>
      </c>
      <c r="CJ135" s="14">
        <v>0.0002775137117358527</v>
      </c>
      <c r="CK135" s="10">
        <v>11</v>
      </c>
      <c r="CL135" s="14">
        <v>0.00046237915090374107</v>
      </c>
      <c r="CM135" s="56"/>
      <c r="CN135" s="55"/>
      <c r="CO135" s="56"/>
      <c r="CP135" s="9">
        <v>4931.7</v>
      </c>
      <c r="CQ135" s="14">
        <v>0.0003444458233902393</v>
      </c>
      <c r="CR135" s="10">
        <v>10</v>
      </c>
      <c r="CS135" s="14">
        <v>0.0005363943571313629</v>
      </c>
      <c r="CT135" s="56"/>
      <c r="CU135" s="55"/>
      <c r="CV135" s="56"/>
      <c r="CW135" s="9">
        <v>4879.7</v>
      </c>
      <c r="CX135" s="14">
        <v>0.0003327734886696026</v>
      </c>
      <c r="CY135" s="10">
        <v>10</v>
      </c>
      <c r="CZ135" s="14">
        <v>0.0005681818181818182</v>
      </c>
      <c r="DA135" s="56"/>
      <c r="DB135" s="55"/>
      <c r="DC135" s="56"/>
    </row>
    <row r="136" spans="1:107" ht="12.75">
      <c r="A136" s="8" t="s">
        <v>96</v>
      </c>
      <c r="B136" s="8"/>
      <c r="C136" s="8"/>
      <c r="D136" s="9">
        <v>302333.38</v>
      </c>
      <c r="E136" s="14">
        <f t="shared" si="23"/>
        <v>0.005017949096029058</v>
      </c>
      <c r="F136" s="10">
        <v>161</v>
      </c>
      <c r="G136" s="14">
        <f t="shared" si="24"/>
        <v>0.0021025687905658653</v>
      </c>
      <c r="H136" s="8"/>
      <c r="I136" s="8"/>
      <c r="J136" s="9">
        <v>243476.7</v>
      </c>
      <c r="K136" s="14">
        <f t="shared" si="26"/>
        <v>0.005698802126944426</v>
      </c>
      <c r="L136" s="10">
        <v>145</v>
      </c>
      <c r="M136" s="14">
        <f t="shared" si="27"/>
        <v>0.0023756471590536733</v>
      </c>
      <c r="N136" s="56"/>
      <c r="O136" s="55"/>
      <c r="P136" s="56"/>
      <c r="Q136" s="9">
        <v>196287.47</v>
      </c>
      <c r="R136" s="14">
        <v>0.00396525553992453</v>
      </c>
      <c r="S136" s="10">
        <v>130</v>
      </c>
      <c r="T136" s="14">
        <f t="shared" si="25"/>
        <v>0.0019812542863674467</v>
      </c>
      <c r="U136" s="56"/>
      <c r="V136" s="55"/>
      <c r="W136" s="56"/>
      <c r="X136" s="9">
        <v>154280.75</v>
      </c>
      <c r="Y136" s="14">
        <v>0.003480250775491658</v>
      </c>
      <c r="Z136" s="10">
        <v>110</v>
      </c>
      <c r="AA136" s="14">
        <v>0.0019173784207774098</v>
      </c>
      <c r="AB136" s="56"/>
      <c r="AC136" s="55"/>
      <c r="AD136" s="56"/>
      <c r="AE136" s="9">
        <v>125746.08</v>
      </c>
      <c r="AF136" s="14">
        <v>0.0033634823724245904</v>
      </c>
      <c r="AG136" s="10">
        <v>96</v>
      </c>
      <c r="AH136" s="14">
        <v>0.0019262023716366701</v>
      </c>
      <c r="AI136" s="56"/>
      <c r="AJ136" s="55"/>
      <c r="AK136" s="56"/>
      <c r="AL136" s="9">
        <v>102761.85</v>
      </c>
      <c r="AM136" s="14">
        <v>0.0029421082572842526</v>
      </c>
      <c r="AN136" s="10">
        <v>87</v>
      </c>
      <c r="AO136" s="14">
        <v>0.001851260772422598</v>
      </c>
      <c r="AP136" s="56"/>
      <c r="AQ136" s="55"/>
      <c r="AR136" s="56"/>
      <c r="AS136" s="9">
        <v>81415.66</v>
      </c>
      <c r="AT136" s="14">
        <v>0.0025435937361916686</v>
      </c>
      <c r="AU136" s="10">
        <v>77</v>
      </c>
      <c r="AV136" s="14">
        <v>0.0018285877128404854</v>
      </c>
      <c r="AW136" s="56"/>
      <c r="AX136" s="55"/>
      <c r="AY136" s="56"/>
      <c r="AZ136" s="9">
        <v>62612.15</v>
      </c>
      <c r="BA136" s="14">
        <v>0.0017851853637429846</v>
      </c>
      <c r="BB136" s="10">
        <v>54</v>
      </c>
      <c r="BC136" s="14">
        <v>0.001256866213574155</v>
      </c>
      <c r="BD136" s="56"/>
      <c r="BE136" s="55"/>
      <c r="BF136" s="56"/>
      <c r="BG136" s="9">
        <v>55251.25</v>
      </c>
      <c r="BH136" s="14">
        <v>0.0018666292613211414</v>
      </c>
      <c r="BI136" s="10">
        <v>43</v>
      </c>
      <c r="BJ136" s="14">
        <v>0.0011520428667113195</v>
      </c>
      <c r="BK136" s="56"/>
      <c r="BL136" s="55"/>
      <c r="BM136" s="56"/>
      <c r="BN136" s="9">
        <v>49023.25</v>
      </c>
      <c r="BO136" s="14">
        <v>0.0018808237037202119</v>
      </c>
      <c r="BP136" s="10">
        <v>34</v>
      </c>
      <c r="BQ136" s="14">
        <v>0.0010328068043742407</v>
      </c>
      <c r="BR136" s="56"/>
      <c r="BS136" s="55"/>
      <c r="BT136" s="56"/>
      <c r="BU136" s="9">
        <v>46369.01</v>
      </c>
      <c r="BV136" s="14">
        <v>0.001913843573655233</v>
      </c>
      <c r="BW136" s="10">
        <v>28</v>
      </c>
      <c r="BX136" s="14">
        <v>0.000914166312971367</v>
      </c>
      <c r="BY136" s="56"/>
      <c r="BZ136" s="55"/>
      <c r="CA136" s="56"/>
      <c r="CB136" s="9">
        <v>43790.11</v>
      </c>
      <c r="CC136" s="14">
        <v>0.0017228883981392263</v>
      </c>
      <c r="CD136" s="10">
        <v>24</v>
      </c>
      <c r="CE136" s="14">
        <v>0.0007888509071785432</v>
      </c>
      <c r="CF136" s="56"/>
      <c r="CG136" s="55"/>
      <c r="CH136" s="56"/>
      <c r="CI136" s="9">
        <v>43270.73</v>
      </c>
      <c r="CJ136" s="14">
        <v>0.002308097006683117</v>
      </c>
      <c r="CK136" s="10">
        <v>20</v>
      </c>
      <c r="CL136" s="14">
        <v>0.0008406893652795292</v>
      </c>
      <c r="CM136" s="56"/>
      <c r="CN136" s="55"/>
      <c r="CO136" s="56"/>
      <c r="CP136" s="9">
        <v>42745.92</v>
      </c>
      <c r="CQ136" s="14">
        <v>0.0029855128274171782</v>
      </c>
      <c r="CR136" s="10">
        <v>19</v>
      </c>
      <c r="CS136" s="14">
        <v>0.0010191492785495897</v>
      </c>
      <c r="CT136" s="56"/>
      <c r="CU136" s="55"/>
      <c r="CV136" s="56"/>
      <c r="CW136" s="9">
        <v>42609.22</v>
      </c>
      <c r="CX136" s="14">
        <v>0.0029057562532308553</v>
      </c>
      <c r="CY136" s="10">
        <v>19</v>
      </c>
      <c r="CZ136" s="14">
        <v>0.0010795454545454546</v>
      </c>
      <c r="DA136" s="56"/>
      <c r="DB136" s="55"/>
      <c r="DC136" s="56"/>
    </row>
    <row r="137" spans="1:107" ht="12.75">
      <c r="A137" s="8" t="s">
        <v>97</v>
      </c>
      <c r="B137" s="8"/>
      <c r="C137" s="8"/>
      <c r="D137" s="9">
        <v>18869.92</v>
      </c>
      <c r="E137" s="14">
        <f t="shared" si="23"/>
        <v>0.00031319167604364635</v>
      </c>
      <c r="F137" s="10">
        <v>89</v>
      </c>
      <c r="G137" s="14">
        <f t="shared" si="24"/>
        <v>0.0011622895798780249</v>
      </c>
      <c r="H137" s="8"/>
      <c r="I137" s="8"/>
      <c r="J137" s="9">
        <v>12226.1</v>
      </c>
      <c r="K137" s="14">
        <f t="shared" si="26"/>
        <v>0.0002861634180364496</v>
      </c>
      <c r="L137" s="10">
        <v>71</v>
      </c>
      <c r="M137" s="14">
        <f t="shared" si="27"/>
        <v>0.0011632479192607641</v>
      </c>
      <c r="N137" s="56"/>
      <c r="O137" s="55"/>
      <c r="P137" s="56"/>
      <c r="Q137" s="9">
        <v>11862.34</v>
      </c>
      <c r="R137" s="14">
        <v>0.00023963429454497727</v>
      </c>
      <c r="S137" s="10">
        <v>69</v>
      </c>
      <c r="T137" s="14">
        <f t="shared" si="25"/>
        <v>0.0010515888135334908</v>
      </c>
      <c r="U137" s="56"/>
      <c r="V137" s="55"/>
      <c r="W137" s="56"/>
      <c r="X137" s="9">
        <v>7547.32</v>
      </c>
      <c r="Y137" s="14">
        <v>0.00017025174095202216</v>
      </c>
      <c r="Z137" s="10">
        <v>52</v>
      </c>
      <c r="AA137" s="14">
        <v>0.0009063970716402301</v>
      </c>
      <c r="AB137" s="56"/>
      <c r="AC137" s="55"/>
      <c r="AD137" s="56"/>
      <c r="AE137" s="9">
        <v>4661.63</v>
      </c>
      <c r="AF137" s="14">
        <v>0.0001246902514318191</v>
      </c>
      <c r="AG137" s="10">
        <v>35</v>
      </c>
      <c r="AH137" s="14">
        <v>0.0007022612813258693</v>
      </c>
      <c r="AI137" s="56"/>
      <c r="AJ137" s="55"/>
      <c r="AK137" s="56"/>
      <c r="AL137" s="9">
        <v>3833.95</v>
      </c>
      <c r="AM137" s="14">
        <v>0.00010976734997486873</v>
      </c>
      <c r="AN137" s="10">
        <v>17</v>
      </c>
      <c r="AO137" s="14">
        <v>0.0003617406107032663</v>
      </c>
      <c r="AP137" s="56"/>
      <c r="AQ137" s="55"/>
      <c r="AR137" s="56"/>
      <c r="AS137" s="9">
        <v>4023</v>
      </c>
      <c r="AT137" s="14">
        <v>0.00012568684698618284</v>
      </c>
      <c r="AU137" s="10">
        <v>16</v>
      </c>
      <c r="AV137" s="14">
        <v>0.0003799662779928281</v>
      </c>
      <c r="AW137" s="56"/>
      <c r="AX137" s="55"/>
      <c r="AY137" s="56"/>
      <c r="AZ137" s="9">
        <v>3939.46</v>
      </c>
      <c r="BA137" s="14">
        <v>0.00011232111232485926</v>
      </c>
      <c r="BB137" s="10">
        <v>12</v>
      </c>
      <c r="BC137" s="14">
        <v>0.00027930360301647893</v>
      </c>
      <c r="BD137" s="56"/>
      <c r="BE137" s="55"/>
      <c r="BF137" s="56"/>
      <c r="BG137" s="9">
        <v>3344</v>
      </c>
      <c r="BH137" s="14">
        <v>0.00011297496888953457</v>
      </c>
      <c r="BI137" s="10">
        <v>6</v>
      </c>
      <c r="BJ137" s="14">
        <v>0.0001607501674480911</v>
      </c>
      <c r="BK137" s="56"/>
      <c r="BL137" s="55"/>
      <c r="BM137" s="56"/>
      <c r="BN137" s="9">
        <v>94973.7</v>
      </c>
      <c r="BO137" s="14">
        <v>0.0036437565071677676</v>
      </c>
      <c r="BP137" s="10">
        <v>93</v>
      </c>
      <c r="BQ137" s="14">
        <v>0.002825030376670717</v>
      </c>
      <c r="BR137" s="56"/>
      <c r="BS137" s="55"/>
      <c r="BT137" s="56"/>
      <c r="BU137" s="9">
        <v>114839.64</v>
      </c>
      <c r="BV137" s="14">
        <v>0.004739913727182881</v>
      </c>
      <c r="BW137" s="10">
        <v>102</v>
      </c>
      <c r="BX137" s="14">
        <v>0.0033301772829671225</v>
      </c>
      <c r="BY137" s="56"/>
      <c r="BZ137" s="55"/>
      <c r="CA137" s="56"/>
      <c r="CB137" s="9">
        <v>62968.62</v>
      </c>
      <c r="CC137" s="14">
        <v>0.0024774522111234167</v>
      </c>
      <c r="CD137" s="10">
        <v>57</v>
      </c>
      <c r="CE137" s="14">
        <v>0.0018735209045490403</v>
      </c>
      <c r="CF137" s="56"/>
      <c r="CG137" s="55"/>
      <c r="CH137" s="56"/>
      <c r="CI137" s="9">
        <v>39814.52</v>
      </c>
      <c r="CJ137" s="14">
        <v>0.0021237398683711848</v>
      </c>
      <c r="CK137" s="10">
        <v>35</v>
      </c>
      <c r="CL137" s="14">
        <v>0.0014712063892391761</v>
      </c>
      <c r="CM137" s="56"/>
      <c r="CN137" s="55"/>
      <c r="CO137" s="56"/>
      <c r="CP137" s="9">
        <v>29808.2</v>
      </c>
      <c r="CQ137" s="14">
        <v>0.002081900762978472</v>
      </c>
      <c r="CR137" s="10">
        <v>21</v>
      </c>
      <c r="CS137" s="14">
        <v>0.0011264281499758623</v>
      </c>
      <c r="CT137" s="56"/>
      <c r="CU137" s="55"/>
      <c r="CV137" s="56"/>
      <c r="CW137" s="9">
        <v>45062.5</v>
      </c>
      <c r="CX137" s="14">
        <v>0.0030730588628755796</v>
      </c>
      <c r="CY137" s="10">
        <v>41</v>
      </c>
      <c r="CZ137" s="14">
        <v>0.0023295454545454544</v>
      </c>
      <c r="DA137" s="56"/>
      <c r="DB137" s="55"/>
      <c r="DC137" s="56"/>
    </row>
    <row r="138" spans="1:107" ht="12.75">
      <c r="A138" s="8"/>
      <c r="B138" s="8"/>
      <c r="C138" s="8"/>
      <c r="D138" s="9"/>
      <c r="E138" s="8"/>
      <c r="F138" s="10"/>
      <c r="G138" s="8"/>
      <c r="H138" s="8"/>
      <c r="I138" s="8"/>
      <c r="J138" s="9"/>
      <c r="K138" s="8"/>
      <c r="L138" s="10"/>
      <c r="M138" s="8"/>
      <c r="N138" s="54"/>
      <c r="O138" s="55"/>
      <c r="P138" s="54"/>
      <c r="Q138" s="9"/>
      <c r="R138" s="8"/>
      <c r="S138" s="10"/>
      <c r="T138" s="8"/>
      <c r="U138" s="54"/>
      <c r="V138" s="55"/>
      <c r="W138" s="54"/>
      <c r="X138" s="9"/>
      <c r="Y138" s="8"/>
      <c r="Z138" s="10"/>
      <c r="AA138" s="8"/>
      <c r="AB138" s="54"/>
      <c r="AC138" s="55"/>
      <c r="AD138" s="54"/>
      <c r="AE138" s="9"/>
      <c r="AF138" s="8"/>
      <c r="AG138" s="10"/>
      <c r="AH138" s="8"/>
      <c r="AI138" s="54"/>
      <c r="AJ138" s="55"/>
      <c r="AK138" s="54"/>
      <c r="AL138" s="9"/>
      <c r="AM138" s="8"/>
      <c r="AN138" s="10"/>
      <c r="AO138" s="8"/>
      <c r="AP138" s="54"/>
      <c r="AQ138" s="55"/>
      <c r="AR138" s="54"/>
      <c r="AS138" s="9"/>
      <c r="AT138" s="8"/>
      <c r="AU138" s="10"/>
      <c r="AV138" s="8"/>
      <c r="AW138" s="54"/>
      <c r="AX138" s="55"/>
      <c r="AY138" s="54"/>
      <c r="AZ138" s="9"/>
      <c r="BA138" s="8"/>
      <c r="BB138" s="10"/>
      <c r="BC138" s="8"/>
      <c r="BD138" s="54"/>
      <c r="BE138" s="55"/>
      <c r="BF138" s="54"/>
      <c r="BG138" s="9"/>
      <c r="BH138" s="8"/>
      <c r="BI138" s="10"/>
      <c r="BJ138" s="8"/>
      <c r="BK138" s="54"/>
      <c r="BL138" s="55"/>
      <c r="BM138" s="54"/>
      <c r="BN138" s="9"/>
      <c r="BO138" s="8"/>
      <c r="BP138" s="10"/>
      <c r="BQ138" s="8"/>
      <c r="BR138" s="54"/>
      <c r="BS138" s="55"/>
      <c r="BT138" s="54"/>
      <c r="BU138" s="9"/>
      <c r="BV138" s="8"/>
      <c r="BW138" s="10"/>
      <c r="BX138" s="8"/>
      <c r="BY138" s="54"/>
      <c r="BZ138" s="55"/>
      <c r="CA138" s="54"/>
      <c r="CB138" s="9"/>
      <c r="CC138" s="8"/>
      <c r="CD138" s="10"/>
      <c r="CE138" s="8"/>
      <c r="CF138" s="54"/>
      <c r="CG138" s="55"/>
      <c r="CH138" s="54"/>
      <c r="CI138" s="9"/>
      <c r="CJ138" s="8"/>
      <c r="CK138" s="10"/>
      <c r="CL138" s="8"/>
      <c r="CM138" s="54"/>
      <c r="CN138" s="55"/>
      <c r="CO138" s="54"/>
      <c r="CP138" s="9"/>
      <c r="CQ138" s="8"/>
      <c r="CR138" s="10"/>
      <c r="CS138" s="8"/>
      <c r="CT138" s="54"/>
      <c r="CU138" s="55"/>
      <c r="CV138" s="54"/>
      <c r="CW138" s="9"/>
      <c r="CX138" s="8"/>
      <c r="CY138" s="10"/>
      <c r="CZ138" s="8"/>
      <c r="DA138" s="54"/>
      <c r="DB138" s="55"/>
      <c r="DC138" s="54"/>
    </row>
    <row r="139" spans="1:107" ht="13.5" thickBot="1">
      <c r="A139" s="8"/>
      <c r="B139" s="8"/>
      <c r="C139" s="8"/>
      <c r="D139" s="21">
        <f>SUM(D130:D138)</f>
        <v>60250388</v>
      </c>
      <c r="E139" s="8"/>
      <c r="F139" s="22">
        <f>SUM(F130:F138)</f>
        <v>76573</v>
      </c>
      <c r="G139" s="33"/>
      <c r="H139" s="8"/>
      <c r="I139" s="8"/>
      <c r="J139" s="21">
        <f>SUM(J130:J137)</f>
        <v>42724189.150000714</v>
      </c>
      <c r="K139" s="8"/>
      <c r="L139" s="22">
        <f>SUM(L130:L138)</f>
        <v>61036</v>
      </c>
      <c r="M139" s="33"/>
      <c r="N139" s="54"/>
      <c r="O139" s="31"/>
      <c r="P139" s="70"/>
      <c r="Q139" s="21">
        <f>SUM(Q130:Q137)</f>
        <v>49501846.23000009</v>
      </c>
      <c r="R139" s="8"/>
      <c r="S139" s="22">
        <f>SUM(S130:S138)</f>
        <v>65615</v>
      </c>
      <c r="T139" s="33"/>
      <c r="U139" s="54"/>
      <c r="V139" s="31"/>
      <c r="W139" s="70"/>
      <c r="X139" s="21">
        <f>SUM(X130:X137)</f>
        <v>44330354.32000002</v>
      </c>
      <c r="Y139" s="8"/>
      <c r="Z139" s="22">
        <f>SUM(Z130:Z138)</f>
        <v>57370</v>
      </c>
      <c r="AA139" s="33"/>
      <c r="AB139" s="54"/>
      <c r="AC139" s="31"/>
      <c r="AD139" s="70"/>
      <c r="AE139" s="21">
        <f>SUM(AE130:AE137)</f>
        <v>37385681.29000036</v>
      </c>
      <c r="AF139" s="8"/>
      <c r="AG139" s="22">
        <f>SUM(AG130:AG138)</f>
        <v>49839</v>
      </c>
      <c r="AH139" s="33"/>
      <c r="AI139" s="54"/>
      <c r="AJ139" s="31"/>
      <c r="AK139" s="70"/>
      <c r="AL139" s="21">
        <f>SUM(AL130:AL137)</f>
        <v>34927963.560000174</v>
      </c>
      <c r="AM139" s="8"/>
      <c r="AN139" s="22">
        <f>SUM(AN130:AN138)</f>
        <v>46995</v>
      </c>
      <c r="AO139" s="33"/>
      <c r="AP139" s="54"/>
      <c r="AQ139" s="31"/>
      <c r="AR139" s="70"/>
      <c r="AS139" s="21">
        <f>SUM(AS130:AS137)</f>
        <v>32008122.540000245</v>
      </c>
      <c r="AT139" s="8"/>
      <c r="AU139" s="22">
        <f>SUM(AU130:AU138)</f>
        <v>42109</v>
      </c>
      <c r="AV139" s="33"/>
      <c r="AW139" s="54"/>
      <c r="AX139" s="31"/>
      <c r="AY139" s="70"/>
      <c r="AZ139" s="21">
        <f>SUM(AZ130:AZ137)</f>
        <v>35073192.55000029</v>
      </c>
      <c r="BA139" s="8"/>
      <c r="BB139" s="22">
        <f>SUM(BB130:BB138)</f>
        <v>42964</v>
      </c>
      <c r="BC139" s="33"/>
      <c r="BD139" s="54"/>
      <c r="BE139" s="31"/>
      <c r="BF139" s="70"/>
      <c r="BG139" s="21">
        <f>SUM(BG130:BG137)</f>
        <v>29599477.06000007</v>
      </c>
      <c r="BH139" s="8"/>
      <c r="BI139" s="22">
        <f>SUM(BI130:BI138)</f>
        <v>37325</v>
      </c>
      <c r="BJ139" s="33"/>
      <c r="BK139" s="54"/>
      <c r="BL139" s="31"/>
      <c r="BM139" s="70"/>
      <c r="BN139" s="21">
        <f>SUM(BN130:BN137)</f>
        <v>26064776.779999908</v>
      </c>
      <c r="BO139" s="8"/>
      <c r="BP139" s="22">
        <f>SUM(BP130:BP138)</f>
        <v>32920</v>
      </c>
      <c r="BQ139" s="33"/>
      <c r="BR139" s="54"/>
      <c r="BS139" s="31"/>
      <c r="BT139" s="70"/>
      <c r="BU139" s="21">
        <f>SUM(BU130:BU137)</f>
        <v>24228213.13000009</v>
      </c>
      <c r="BV139" s="8"/>
      <c r="BW139" s="22">
        <f>SUM(BW130:BW138)</f>
        <v>30629</v>
      </c>
      <c r="BX139" s="33"/>
      <c r="BY139" s="54"/>
      <c r="BZ139" s="31"/>
      <c r="CA139" s="70"/>
      <c r="CB139" s="21">
        <f>SUM(CB130:CB137)</f>
        <v>25416684.01000013</v>
      </c>
      <c r="CC139" s="8"/>
      <c r="CD139" s="22">
        <f>SUM(CD130:CD138)</f>
        <v>30424</v>
      </c>
      <c r="CE139" s="33"/>
      <c r="CF139" s="54"/>
      <c r="CG139" s="31"/>
      <c r="CH139" s="70"/>
      <c r="CI139" s="21">
        <f>SUM(CI130:CI137)</f>
        <v>18747361.95000002</v>
      </c>
      <c r="CJ139" s="8"/>
      <c r="CK139" s="22">
        <f>SUM(CK130:CK138)</f>
        <v>23790</v>
      </c>
      <c r="CL139" s="33"/>
      <c r="CM139" s="54"/>
      <c r="CN139" s="31"/>
      <c r="CO139" s="70"/>
      <c r="CP139" s="21">
        <f>SUM(CP130:CP137)</f>
        <v>14317781.390000014</v>
      </c>
      <c r="CQ139" s="8"/>
      <c r="CR139" s="22">
        <f>SUM(CR130:CR138)</f>
        <v>18643</v>
      </c>
      <c r="CS139" s="33"/>
      <c r="CT139" s="54"/>
      <c r="CU139" s="31"/>
      <c r="CV139" s="70"/>
      <c r="CW139" s="21">
        <f>SUM(CW130:CW137)</f>
        <v>14663728.229999889</v>
      </c>
      <c r="CX139" s="8"/>
      <c r="CY139" s="22">
        <f>SUM(CY130:CY138)</f>
        <v>17600</v>
      </c>
      <c r="CZ139" s="33"/>
      <c r="DA139" s="54"/>
      <c r="DB139" s="31"/>
      <c r="DC139" s="70"/>
    </row>
    <row r="140" spans="1:107" ht="13.5" thickTop="1">
      <c r="A140" s="34"/>
      <c r="B140" s="34"/>
      <c r="C140" s="34"/>
      <c r="D140" s="35"/>
      <c r="E140" s="34"/>
      <c r="F140" s="36"/>
      <c r="G140" s="34"/>
      <c r="H140" s="34"/>
      <c r="I140" s="34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</row>
    <row r="141" spans="1:107" ht="12.75">
      <c r="A141" s="12" t="s">
        <v>104</v>
      </c>
      <c r="B141" s="34"/>
      <c r="C141" s="34"/>
      <c r="D141" s="35"/>
      <c r="E141" s="34"/>
      <c r="F141" s="36"/>
      <c r="G141" s="34"/>
      <c r="H141" s="34"/>
      <c r="I141" s="34"/>
      <c r="J141" s="69"/>
      <c r="K141" s="54"/>
      <c r="L141" s="54"/>
      <c r="M141" s="63"/>
      <c r="N141" s="54"/>
      <c r="O141" s="55"/>
      <c r="P141" s="54"/>
      <c r="Q141" s="69"/>
      <c r="R141" s="54"/>
      <c r="S141" s="54"/>
      <c r="T141" s="63"/>
      <c r="U141" s="54"/>
      <c r="V141" s="55"/>
      <c r="W141" s="54"/>
      <c r="X141" s="69"/>
      <c r="Y141" s="54"/>
      <c r="Z141" s="54"/>
      <c r="AA141" s="63"/>
      <c r="AB141" s="54"/>
      <c r="AC141" s="55"/>
      <c r="AD141" s="54"/>
      <c r="AE141" s="69"/>
      <c r="AF141" s="54"/>
      <c r="AG141" s="54"/>
      <c r="AH141" s="63"/>
      <c r="AI141" s="54"/>
      <c r="AJ141" s="55"/>
      <c r="AK141" s="54"/>
      <c r="AL141" s="69"/>
      <c r="AM141" s="54"/>
      <c r="AN141" s="54"/>
      <c r="AO141" s="63"/>
      <c r="AP141" s="54"/>
      <c r="AQ141" s="55"/>
      <c r="AR141" s="54"/>
      <c r="AS141" s="69"/>
      <c r="AT141" s="54"/>
      <c r="AU141" s="54"/>
      <c r="AV141" s="63"/>
      <c r="AW141" s="54"/>
      <c r="AX141" s="55"/>
      <c r="AY141" s="54"/>
      <c r="AZ141" s="69"/>
      <c r="BA141" s="54"/>
      <c r="BB141" s="54"/>
      <c r="BC141" s="63"/>
      <c r="BD141" s="54"/>
      <c r="BE141" s="55"/>
      <c r="BF141" s="54"/>
      <c r="BG141" s="69"/>
      <c r="BH141" s="54"/>
      <c r="BI141" s="54"/>
      <c r="BJ141" s="63"/>
      <c r="BK141" s="54"/>
      <c r="BL141" s="55"/>
      <c r="BM141" s="54"/>
      <c r="BN141" s="69"/>
      <c r="BO141" s="54"/>
      <c r="BP141" s="54"/>
      <c r="BQ141" s="63"/>
      <c r="BR141" s="54"/>
      <c r="BS141" s="55"/>
      <c r="BT141" s="54"/>
      <c r="BU141" s="69"/>
      <c r="BV141" s="54"/>
      <c r="BW141" s="54"/>
      <c r="BX141" s="63"/>
      <c r="BY141" s="54"/>
      <c r="BZ141" s="55"/>
      <c r="CA141" s="54"/>
      <c r="CB141" s="69"/>
      <c r="CC141" s="54"/>
      <c r="CD141" s="54"/>
      <c r="CE141" s="63"/>
      <c r="CF141" s="54"/>
      <c r="CG141" s="55"/>
      <c r="CH141" s="54"/>
      <c r="CI141" s="69"/>
      <c r="CJ141" s="54"/>
      <c r="CK141" s="54"/>
      <c r="CL141" s="63"/>
      <c r="CM141" s="54"/>
      <c r="CN141" s="55"/>
      <c r="CO141" s="54"/>
      <c r="CP141" s="69"/>
      <c r="CQ141" s="54"/>
      <c r="CR141" s="54"/>
      <c r="CS141" s="63"/>
      <c r="CT141" s="54"/>
      <c r="CU141" s="55"/>
      <c r="CV141" s="54"/>
      <c r="CW141" s="69"/>
      <c r="CX141" s="54"/>
      <c r="CY141" s="54"/>
      <c r="CZ141" s="63"/>
      <c r="DA141" s="54"/>
      <c r="DB141" s="55"/>
      <c r="DC141" s="54"/>
    </row>
    <row r="142" spans="1:107" ht="12.75">
      <c r="A142" s="12" t="s">
        <v>139</v>
      </c>
      <c r="B142" s="34"/>
      <c r="C142" s="34"/>
      <c r="D142" s="35"/>
      <c r="E142" s="34"/>
      <c r="F142" s="36"/>
      <c r="G142" s="34"/>
      <c r="H142" s="34"/>
      <c r="I142" s="34"/>
      <c r="J142" s="69"/>
      <c r="K142" s="54"/>
      <c r="L142" s="54"/>
      <c r="M142" s="63"/>
      <c r="N142" s="54"/>
      <c r="O142" s="55"/>
      <c r="P142" s="54"/>
      <c r="Q142" s="69"/>
      <c r="R142" s="54"/>
      <c r="S142" s="54"/>
      <c r="T142" s="63"/>
      <c r="U142" s="54"/>
      <c r="V142" s="55"/>
      <c r="W142" s="54"/>
      <c r="X142" s="69"/>
      <c r="Y142" s="54"/>
      <c r="Z142" s="54"/>
      <c r="AA142" s="63"/>
      <c r="AB142" s="54"/>
      <c r="AC142" s="55"/>
      <c r="AD142" s="54"/>
      <c r="AE142" s="69"/>
      <c r="AF142" s="54"/>
      <c r="AG142" s="54"/>
      <c r="AH142" s="63"/>
      <c r="AI142" s="54"/>
      <c r="AJ142" s="55"/>
      <c r="AK142" s="54"/>
      <c r="AL142" s="69"/>
      <c r="AM142" s="54"/>
      <c r="AN142" s="54"/>
      <c r="AO142" s="63"/>
      <c r="AP142" s="54"/>
      <c r="AQ142" s="55"/>
      <c r="AR142" s="54"/>
      <c r="AS142" s="69"/>
      <c r="AT142" s="54"/>
      <c r="AU142" s="54"/>
      <c r="AV142" s="63"/>
      <c r="AW142" s="54"/>
      <c r="AX142" s="55"/>
      <c r="AY142" s="54"/>
      <c r="AZ142" s="69"/>
      <c r="BA142" s="54"/>
      <c r="BB142" s="54"/>
      <c r="BC142" s="63"/>
      <c r="BD142" s="54"/>
      <c r="BE142" s="55"/>
      <c r="BF142" s="54"/>
      <c r="BG142" s="69"/>
      <c r="BH142" s="54"/>
      <c r="BI142" s="54"/>
      <c r="BJ142" s="63"/>
      <c r="BK142" s="54"/>
      <c r="BL142" s="55"/>
      <c r="BM142" s="54"/>
      <c r="BN142" s="69"/>
      <c r="BO142" s="54"/>
      <c r="BP142" s="54"/>
      <c r="BQ142" s="63"/>
      <c r="BR142" s="54"/>
      <c r="BS142" s="55"/>
      <c r="BT142" s="54"/>
      <c r="BU142" s="69"/>
      <c r="BV142" s="54"/>
      <c r="BW142" s="54"/>
      <c r="BX142" s="63"/>
      <c r="BY142" s="54"/>
      <c r="BZ142" s="55"/>
      <c r="CA142" s="54"/>
      <c r="CB142" s="69"/>
      <c r="CC142" s="54"/>
      <c r="CD142" s="54"/>
      <c r="CE142" s="63"/>
      <c r="CF142" s="54"/>
      <c r="CG142" s="55"/>
      <c r="CH142" s="54"/>
      <c r="CI142" s="69"/>
      <c r="CJ142" s="54"/>
      <c r="CK142" s="54"/>
      <c r="CL142" s="63"/>
      <c r="CM142" s="54"/>
      <c r="CN142" s="55"/>
      <c r="CO142" s="54"/>
      <c r="CP142" s="69"/>
      <c r="CQ142" s="54"/>
      <c r="CR142" s="54"/>
      <c r="CS142" s="63"/>
      <c r="CT142" s="54"/>
      <c r="CU142" s="55"/>
      <c r="CV142" s="54"/>
      <c r="CW142" s="69"/>
      <c r="CX142" s="54"/>
      <c r="CY142" s="54"/>
      <c r="CZ142" s="63"/>
      <c r="DA142" s="54"/>
      <c r="DB142" s="55"/>
      <c r="DC142" s="54"/>
    </row>
    <row r="143" spans="1:107" ht="12.75">
      <c r="A143" s="34"/>
      <c r="B143" s="34"/>
      <c r="C143" s="34"/>
      <c r="D143" s="35"/>
      <c r="E143" s="34"/>
      <c r="F143" s="36"/>
      <c r="G143" s="34"/>
      <c r="H143" s="34"/>
      <c r="I143" s="34"/>
      <c r="J143" s="54"/>
      <c r="K143" s="53"/>
      <c r="L143" s="53"/>
      <c r="M143" s="30"/>
      <c r="N143" s="53"/>
      <c r="O143" s="31"/>
      <c r="P143" s="53"/>
      <c r="Q143" s="54"/>
      <c r="R143" s="53"/>
      <c r="S143" s="53"/>
      <c r="T143" s="30"/>
      <c r="U143" s="53"/>
      <c r="V143" s="31"/>
      <c r="W143" s="53"/>
      <c r="X143" s="54"/>
      <c r="Y143" s="53"/>
      <c r="Z143" s="53"/>
      <c r="AA143" s="30"/>
      <c r="AB143" s="53"/>
      <c r="AC143" s="31"/>
      <c r="AD143" s="53"/>
      <c r="AE143" s="54"/>
      <c r="AF143" s="53"/>
      <c r="AG143" s="53"/>
      <c r="AH143" s="30"/>
      <c r="AI143" s="53"/>
      <c r="AJ143" s="31"/>
      <c r="AK143" s="53"/>
      <c r="AL143" s="54"/>
      <c r="AM143" s="53"/>
      <c r="AN143" s="53"/>
      <c r="AO143" s="30"/>
      <c r="AP143" s="53"/>
      <c r="AQ143" s="31"/>
      <c r="AR143" s="53"/>
      <c r="AS143" s="54"/>
      <c r="AT143" s="53"/>
      <c r="AU143" s="53"/>
      <c r="AV143" s="30"/>
      <c r="AW143" s="53"/>
      <c r="AX143" s="31"/>
      <c r="AY143" s="53"/>
      <c r="AZ143" s="54"/>
      <c r="BA143" s="53"/>
      <c r="BB143" s="53"/>
      <c r="BC143" s="30"/>
      <c r="BD143" s="53"/>
      <c r="BE143" s="31"/>
      <c r="BF143" s="53"/>
      <c r="BG143" s="54"/>
      <c r="BH143" s="53"/>
      <c r="BI143" s="53"/>
      <c r="BJ143" s="30"/>
      <c r="BK143" s="53"/>
      <c r="BL143" s="31"/>
      <c r="BM143" s="53"/>
      <c r="BN143" s="54"/>
      <c r="BO143" s="53"/>
      <c r="BP143" s="53"/>
      <c r="BQ143" s="30"/>
      <c r="BR143" s="53"/>
      <c r="BS143" s="31"/>
      <c r="BT143" s="53"/>
      <c r="BU143" s="54"/>
      <c r="BV143" s="53"/>
      <c r="BW143" s="53"/>
      <c r="BX143" s="30"/>
      <c r="BY143" s="53"/>
      <c r="BZ143" s="31"/>
      <c r="CA143" s="53"/>
      <c r="CB143" s="54"/>
      <c r="CC143" s="53"/>
      <c r="CD143" s="53"/>
      <c r="CE143" s="30"/>
      <c r="CF143" s="53"/>
      <c r="CG143" s="31"/>
      <c r="CH143" s="53"/>
      <c r="CI143" s="54"/>
      <c r="CJ143" s="53"/>
      <c r="CK143" s="53"/>
      <c r="CL143" s="30"/>
      <c r="CM143" s="53"/>
      <c r="CN143" s="31"/>
      <c r="CO143" s="53"/>
      <c r="CP143" s="54"/>
      <c r="CQ143" s="53"/>
      <c r="CR143" s="53"/>
      <c r="CS143" s="30"/>
      <c r="CT143" s="53"/>
      <c r="CU143" s="31"/>
      <c r="CV143" s="53"/>
      <c r="CW143" s="54"/>
      <c r="CX143" s="53"/>
      <c r="CY143" s="53"/>
      <c r="CZ143" s="30"/>
      <c r="DA143" s="53"/>
      <c r="DB143" s="31"/>
      <c r="DC143" s="53"/>
    </row>
    <row r="144" spans="4:18" ht="12.75">
      <c r="D144" s="2"/>
      <c r="J144" s="60"/>
      <c r="K144" s="49"/>
      <c r="L144" s="49"/>
      <c r="M144" s="50"/>
      <c r="N144" s="49"/>
      <c r="O144" s="51"/>
      <c r="P144" s="49"/>
      <c r="Q144" s="49"/>
      <c r="R144" s="49"/>
    </row>
    <row r="145" spans="4:18" ht="12.75">
      <c r="D145" s="2"/>
      <c r="J145" s="49"/>
      <c r="K145" s="49"/>
      <c r="L145" s="49"/>
      <c r="M145" s="50"/>
      <c r="N145" s="61"/>
      <c r="O145" s="51"/>
      <c r="P145" s="61"/>
      <c r="Q145" s="49"/>
      <c r="R145" s="49"/>
    </row>
    <row r="146" spans="4:18" ht="12.75">
      <c r="D146" s="2"/>
      <c r="J146" s="49"/>
      <c r="K146" s="49"/>
      <c r="L146" s="49"/>
      <c r="M146" s="50"/>
      <c r="N146" s="61"/>
      <c r="O146" s="51"/>
      <c r="P146" s="61"/>
      <c r="Q146" s="49"/>
      <c r="R146" s="49"/>
    </row>
    <row r="147" spans="1:18" ht="12.75">
      <c r="A147" t="s">
        <v>118</v>
      </c>
      <c r="D147" s="2"/>
      <c r="J147" s="49"/>
      <c r="K147" s="49"/>
      <c r="L147" s="49"/>
      <c r="M147" s="50"/>
      <c r="N147" s="61"/>
      <c r="O147" s="51"/>
      <c r="P147" s="61"/>
      <c r="Q147" s="49"/>
      <c r="R147" s="49"/>
    </row>
    <row r="148" spans="4:18" ht="12.75">
      <c r="D148" s="2"/>
      <c r="J148" s="49"/>
      <c r="K148" s="49"/>
      <c r="L148" s="49"/>
      <c r="M148" s="50"/>
      <c r="N148" s="61"/>
      <c r="O148" s="51"/>
      <c r="P148" s="61"/>
      <c r="Q148" s="49"/>
      <c r="R148" s="49"/>
    </row>
    <row r="149" spans="4:18" ht="12.75">
      <c r="D149" s="2"/>
      <c r="J149" s="49"/>
      <c r="K149" s="49"/>
      <c r="L149" s="49"/>
      <c r="M149" s="50"/>
      <c r="N149" s="61"/>
      <c r="O149" s="51"/>
      <c r="P149" s="61"/>
      <c r="Q149" s="49"/>
      <c r="R149" s="49"/>
    </row>
    <row r="150" spans="4:18" ht="12.75">
      <c r="D150" s="2"/>
      <c r="J150" s="49"/>
      <c r="K150" s="49"/>
      <c r="L150" s="49"/>
      <c r="M150" s="50"/>
      <c r="N150" s="61"/>
      <c r="O150" s="51"/>
      <c r="P150" s="61"/>
      <c r="Q150" s="49"/>
      <c r="R150" s="49"/>
    </row>
    <row r="151" spans="4:18" ht="12.75">
      <c r="D151" s="2"/>
      <c r="J151" s="49"/>
      <c r="K151" s="49"/>
      <c r="L151" s="49"/>
      <c r="M151" s="50"/>
      <c r="N151" s="61"/>
      <c r="O151" s="51"/>
      <c r="P151" s="61"/>
      <c r="Q151" s="49"/>
      <c r="R151" s="49"/>
    </row>
    <row r="152" spans="4:18" ht="12.75">
      <c r="D152" s="2"/>
      <c r="J152" s="49"/>
      <c r="K152" s="49"/>
      <c r="L152" s="49"/>
      <c r="M152" s="50"/>
      <c r="N152" s="61"/>
      <c r="O152" s="51"/>
      <c r="P152" s="61"/>
      <c r="Q152" s="49"/>
      <c r="R152" s="49"/>
    </row>
    <row r="153" spans="4:18" ht="12.75">
      <c r="D153" s="2"/>
      <c r="J153" s="49"/>
      <c r="K153" s="49"/>
      <c r="L153" s="49"/>
      <c r="M153" s="50"/>
      <c r="N153" s="49"/>
      <c r="O153" s="51"/>
      <c r="P153" s="49"/>
      <c r="Q153" s="49"/>
      <c r="R153" s="49"/>
    </row>
    <row r="154" spans="4:18" ht="12.75">
      <c r="D154" s="2"/>
      <c r="J154" s="49"/>
      <c r="K154" s="49"/>
      <c r="L154" s="49"/>
      <c r="M154" s="47"/>
      <c r="N154" s="49"/>
      <c r="O154" s="48"/>
      <c r="P154" s="68"/>
      <c r="Q154" s="49"/>
      <c r="R154" s="49"/>
    </row>
    <row r="155" spans="4:18" ht="12.75">
      <c r="D155" s="2"/>
      <c r="J155" s="49"/>
      <c r="K155" s="49"/>
      <c r="L155" s="49"/>
      <c r="M155" s="49"/>
      <c r="N155" s="49"/>
      <c r="O155" s="49"/>
      <c r="P155" s="49"/>
      <c r="Q155" s="49"/>
      <c r="R155" s="49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</sheetData>
  <mergeCells count="30">
    <mergeCell ref="Q1:W1"/>
    <mergeCell ref="Q3:W3"/>
    <mergeCell ref="AS1:AY1"/>
    <mergeCell ref="AS3:AY3"/>
    <mergeCell ref="X1:AD1"/>
    <mergeCell ref="X3:AD3"/>
    <mergeCell ref="AL1:AR1"/>
    <mergeCell ref="AL3:AR3"/>
    <mergeCell ref="A1:G1"/>
    <mergeCell ref="A3:G3"/>
    <mergeCell ref="J1:P1"/>
    <mergeCell ref="J3:P3"/>
    <mergeCell ref="AZ1:BF1"/>
    <mergeCell ref="AZ3:BF3"/>
    <mergeCell ref="AE1:AK1"/>
    <mergeCell ref="AE3:AK3"/>
    <mergeCell ref="BU1:CA1"/>
    <mergeCell ref="BU3:CA3"/>
    <mergeCell ref="BG1:BM1"/>
    <mergeCell ref="BG3:BM3"/>
    <mergeCell ref="BN1:BT1"/>
    <mergeCell ref="BN3:BT3"/>
    <mergeCell ref="CW1:DC1"/>
    <mergeCell ref="CW3:DC3"/>
    <mergeCell ref="CB1:CH1"/>
    <mergeCell ref="CB3:CH3"/>
    <mergeCell ref="CP1:CV1"/>
    <mergeCell ref="CP3:CV3"/>
    <mergeCell ref="CI1:CO1"/>
    <mergeCell ref="CI3:CO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14" r:id="rId1"/>
  <colBreaks count="2" manualBreakCount="2">
    <brk id="30" max="141" man="1"/>
    <brk id="44" max="1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66"/>
  <sheetViews>
    <sheetView view="pageBreakPreview" zoomScale="60" workbookViewId="0" topLeftCell="CT1">
      <selection activeCell="CX1" sqref="CX1:DB1"/>
    </sheetView>
  </sheetViews>
  <sheetFormatPr defaultColWidth="9.140625" defaultRowHeight="12.75"/>
  <cols>
    <col min="3" max="3" width="16.28125" style="0" customWidth="1"/>
    <col min="4" max="4" width="28.28125" style="0" customWidth="1"/>
    <col min="5" max="5" width="14.140625" style="0" customWidth="1"/>
    <col min="6" max="6" width="16.7109375" style="3" customWidth="1"/>
    <col min="7" max="7" width="16.140625" style="0" customWidth="1"/>
    <col min="9" max="9" width="19.140625" style="0" bestFit="1" customWidth="1"/>
    <col min="10" max="10" width="34.8515625" style="0" customWidth="1"/>
    <col min="11" max="11" width="13.8515625" style="0" customWidth="1"/>
    <col min="12" max="12" width="12.421875" style="0" customWidth="1"/>
    <col min="13" max="13" width="14.00390625" style="0" customWidth="1"/>
    <col min="14" max="14" width="13.7109375" style="0" customWidth="1"/>
    <col min="15" max="15" width="15.140625" style="0" customWidth="1"/>
    <col min="16" max="16" width="13.140625" style="0" customWidth="1"/>
    <col min="17" max="17" width="14.57421875" style="0" customWidth="1"/>
    <col min="18" max="18" width="37.140625" style="0" customWidth="1"/>
    <col min="19" max="19" width="13.8515625" style="0" customWidth="1"/>
    <col min="20" max="20" width="12.7109375" style="0" customWidth="1"/>
    <col min="21" max="21" width="21.28125" style="0" bestFit="1" customWidth="1"/>
    <col min="22" max="22" width="11.57421875" style="0" bestFit="1" customWidth="1"/>
    <col min="23" max="23" width="12.00390625" style="0" bestFit="1" customWidth="1"/>
    <col min="24" max="24" width="21.00390625" style="0" customWidth="1"/>
    <col min="25" max="25" width="34.57421875" style="0" customWidth="1"/>
    <col min="26" max="26" width="12.421875" style="0" customWidth="1"/>
    <col min="27" max="27" width="17.00390625" style="0" customWidth="1"/>
    <col min="28" max="28" width="14.57421875" style="0" customWidth="1"/>
    <col min="29" max="29" width="11.7109375" style="0" customWidth="1"/>
    <col min="30" max="30" width="13.7109375" style="0" customWidth="1"/>
    <col min="31" max="31" width="16.00390625" style="0" customWidth="1"/>
    <col min="32" max="32" width="37.00390625" style="0" customWidth="1"/>
    <col min="33" max="33" width="23.421875" style="0" customWidth="1"/>
    <col min="34" max="34" width="17.00390625" style="0" customWidth="1"/>
    <col min="35" max="35" width="16.7109375" style="0" customWidth="1"/>
    <col min="36" max="36" width="18.140625" style="0" customWidth="1"/>
    <col min="39" max="39" width="47.57421875" style="0" customWidth="1"/>
    <col min="40" max="40" width="25.140625" style="0" customWidth="1"/>
    <col min="41" max="41" width="20.140625" style="0" customWidth="1"/>
    <col min="42" max="42" width="17.28125" style="0" customWidth="1"/>
    <col min="43" max="43" width="16.28125" style="0" customWidth="1"/>
    <col min="46" max="46" width="37.421875" style="0" customWidth="1"/>
    <col min="47" max="47" width="19.8515625" style="0" customWidth="1"/>
    <col min="48" max="48" width="20.28125" style="0" customWidth="1"/>
    <col min="49" max="49" width="18.140625" style="0" customWidth="1"/>
    <col min="50" max="50" width="12.7109375" style="0" customWidth="1"/>
    <col min="51" max="51" width="14.57421875" style="0" customWidth="1"/>
    <col min="53" max="53" width="40.8515625" style="0" customWidth="1"/>
    <col min="54" max="55" width="18.00390625" style="0" customWidth="1"/>
    <col min="56" max="56" width="19.00390625" style="0" customWidth="1"/>
    <col min="57" max="57" width="16.28125" style="0" customWidth="1"/>
    <col min="60" max="60" width="42.421875" style="0" customWidth="1"/>
    <col min="61" max="61" width="18.421875" style="0" customWidth="1"/>
    <col min="62" max="62" width="17.57421875" style="0" customWidth="1"/>
    <col min="63" max="63" width="16.7109375" style="0" customWidth="1"/>
    <col min="64" max="64" width="13.7109375" style="0" customWidth="1"/>
    <col min="65" max="65" width="14.421875" style="0" customWidth="1"/>
    <col min="67" max="67" width="28.00390625" style="0" customWidth="1"/>
    <col min="68" max="68" width="21.7109375" style="0" customWidth="1"/>
    <col min="69" max="69" width="18.00390625" style="0" customWidth="1"/>
    <col min="70" max="70" width="17.421875" style="0" customWidth="1"/>
    <col min="71" max="71" width="13.140625" style="0" customWidth="1"/>
    <col min="72" max="72" width="14.00390625" style="0" customWidth="1"/>
    <col min="74" max="74" width="26.57421875" style="0" customWidth="1"/>
    <col min="75" max="75" width="23.7109375" style="0" customWidth="1"/>
    <col min="76" max="76" width="23.140625" style="0" customWidth="1"/>
    <col min="77" max="77" width="17.421875" style="0" customWidth="1"/>
    <col min="78" max="78" width="12.28125" style="0" customWidth="1"/>
    <col min="81" max="81" width="38.57421875" style="0" customWidth="1"/>
    <col min="82" max="82" width="18.8515625" style="0" customWidth="1"/>
    <col min="83" max="83" width="20.140625" style="0" customWidth="1"/>
    <col min="84" max="84" width="18.421875" style="0" customWidth="1"/>
    <col min="88" max="88" width="30.421875" style="0" customWidth="1"/>
    <col min="89" max="89" width="22.7109375" style="0" customWidth="1"/>
    <col min="90" max="90" width="19.421875" style="0" customWidth="1"/>
    <col min="91" max="91" width="19.28125" style="0" customWidth="1"/>
    <col min="92" max="92" width="11.57421875" style="0" customWidth="1"/>
    <col min="95" max="95" width="27.8515625" style="0" customWidth="1"/>
    <col min="96" max="96" width="18.421875" style="0" customWidth="1"/>
    <col min="97" max="97" width="24.140625" style="0" customWidth="1"/>
    <col min="98" max="98" width="21.7109375" style="0" customWidth="1"/>
    <col min="99" max="99" width="11.7109375" style="0" customWidth="1"/>
    <col min="102" max="102" width="34.421875" style="0" customWidth="1"/>
    <col min="103" max="104" width="15.8515625" style="0" customWidth="1"/>
    <col min="105" max="105" width="21.7109375" style="0" customWidth="1"/>
    <col min="106" max="106" width="17.28125" style="0" customWidth="1"/>
  </cols>
  <sheetData>
    <row r="1" spans="1:108" ht="33.75">
      <c r="A1" s="101" t="s">
        <v>119</v>
      </c>
      <c r="B1" s="101"/>
      <c r="C1" s="101"/>
      <c r="D1" s="101"/>
      <c r="E1" s="101"/>
      <c r="F1" s="101"/>
      <c r="G1" s="101"/>
      <c r="H1" s="8"/>
      <c r="I1" s="8"/>
      <c r="J1" s="101" t="s">
        <v>119</v>
      </c>
      <c r="K1" s="101"/>
      <c r="L1" s="101"/>
      <c r="M1" s="101"/>
      <c r="N1" s="101"/>
      <c r="O1" s="101"/>
      <c r="P1" s="101"/>
      <c r="Q1" s="8"/>
      <c r="R1" s="101" t="s">
        <v>119</v>
      </c>
      <c r="S1" s="101"/>
      <c r="T1" s="101"/>
      <c r="U1" s="101"/>
      <c r="V1" s="101"/>
      <c r="W1" s="101"/>
      <c r="X1" s="101"/>
      <c r="Y1" s="101" t="s">
        <v>119</v>
      </c>
      <c r="Z1" s="101"/>
      <c r="AA1" s="101"/>
      <c r="AB1" s="101"/>
      <c r="AC1" s="101"/>
      <c r="AD1" s="101"/>
      <c r="AE1" s="101"/>
      <c r="AF1" s="101" t="s">
        <v>119</v>
      </c>
      <c r="AG1" s="101"/>
      <c r="AH1" s="101"/>
      <c r="AI1" s="101"/>
      <c r="AJ1" s="101"/>
      <c r="AK1" s="101"/>
      <c r="AL1" s="101"/>
      <c r="AM1" s="101" t="s">
        <v>119</v>
      </c>
      <c r="AN1" s="101"/>
      <c r="AO1" s="101"/>
      <c r="AP1" s="101"/>
      <c r="AQ1" s="101"/>
      <c r="AR1" s="83"/>
      <c r="AS1" s="83"/>
      <c r="AT1" s="101" t="s">
        <v>119</v>
      </c>
      <c r="AU1" s="101"/>
      <c r="AV1" s="101"/>
      <c r="AW1" s="101"/>
      <c r="AX1" s="101"/>
      <c r="AY1" s="83"/>
      <c r="AZ1" s="83"/>
      <c r="BA1" s="101" t="s">
        <v>119</v>
      </c>
      <c r="BB1" s="101"/>
      <c r="BC1" s="101"/>
      <c r="BD1" s="101"/>
      <c r="BE1" s="101"/>
      <c r="BF1" s="83"/>
      <c r="BG1" s="83"/>
      <c r="BH1" s="101" t="s">
        <v>119</v>
      </c>
      <c r="BI1" s="101"/>
      <c r="BJ1" s="101"/>
      <c r="BK1" s="101"/>
      <c r="BL1" s="101"/>
      <c r="BM1" s="83"/>
      <c r="BN1" s="83"/>
      <c r="BO1" s="101" t="s">
        <v>119</v>
      </c>
      <c r="BP1" s="101"/>
      <c r="BQ1" s="101"/>
      <c r="BR1" s="101"/>
      <c r="BS1" s="101"/>
      <c r="BT1" s="83"/>
      <c r="BU1" s="83"/>
      <c r="BV1" s="101" t="s">
        <v>119</v>
      </c>
      <c r="BW1" s="101"/>
      <c r="BX1" s="101"/>
      <c r="BY1" s="101"/>
      <c r="BZ1" s="101"/>
      <c r="CA1" s="83"/>
      <c r="CB1" s="83"/>
      <c r="CC1" s="101" t="s">
        <v>119</v>
      </c>
      <c r="CD1" s="101"/>
      <c r="CE1" s="101"/>
      <c r="CF1" s="101"/>
      <c r="CG1" s="101"/>
      <c r="CH1" s="83"/>
      <c r="CI1" s="83"/>
      <c r="CJ1" s="101" t="s">
        <v>119</v>
      </c>
      <c r="CK1" s="101"/>
      <c r="CL1" s="101"/>
      <c r="CM1" s="101"/>
      <c r="CN1" s="101"/>
      <c r="CO1" s="83"/>
      <c r="CP1" s="83"/>
      <c r="CQ1" s="101" t="s">
        <v>119</v>
      </c>
      <c r="CR1" s="101"/>
      <c r="CS1" s="101"/>
      <c r="CT1" s="101"/>
      <c r="CU1" s="101"/>
      <c r="CV1" s="83"/>
      <c r="CW1" s="83"/>
      <c r="CX1" s="101" t="s">
        <v>119</v>
      </c>
      <c r="CY1" s="101"/>
      <c r="CZ1" s="101"/>
      <c r="DA1" s="101"/>
      <c r="DB1" s="101"/>
      <c r="DC1" s="83"/>
      <c r="DD1" s="83"/>
    </row>
    <row r="2" spans="1:108" ht="12.75">
      <c r="A2" s="8"/>
      <c r="B2" s="8"/>
      <c r="C2" s="8"/>
      <c r="D2" s="8"/>
      <c r="E2" s="8"/>
      <c r="F2" s="10"/>
      <c r="G2" s="8"/>
      <c r="H2" s="8"/>
      <c r="I2" s="8"/>
      <c r="J2" s="8"/>
      <c r="K2" s="8"/>
      <c r="L2" s="8"/>
      <c r="M2" s="8"/>
      <c r="N2" s="8"/>
      <c r="O2" s="10"/>
      <c r="P2" s="8"/>
      <c r="Q2" s="8"/>
      <c r="R2" s="8"/>
      <c r="S2" s="8"/>
      <c r="T2" s="8"/>
      <c r="U2" s="8"/>
      <c r="V2" s="8"/>
      <c r="W2" s="10"/>
      <c r="X2" s="8"/>
      <c r="Y2" s="8"/>
      <c r="Z2" s="8"/>
      <c r="AA2" s="8"/>
      <c r="AB2" s="8"/>
      <c r="AC2" s="8"/>
      <c r="AD2" s="10"/>
      <c r="AE2" s="8"/>
      <c r="AF2" s="8"/>
      <c r="AG2" s="8"/>
      <c r="AH2" s="8"/>
      <c r="AI2" s="8"/>
      <c r="AJ2" s="8"/>
      <c r="AK2" s="10"/>
      <c r="AL2" s="8"/>
      <c r="AM2" s="8"/>
      <c r="AN2" s="8"/>
      <c r="AO2" s="8"/>
      <c r="AP2" s="8"/>
      <c r="AQ2" s="8"/>
      <c r="AR2" s="10"/>
      <c r="AS2" s="8"/>
      <c r="AT2" s="8"/>
      <c r="AU2" s="8"/>
      <c r="AV2" s="8"/>
      <c r="AW2" s="8"/>
      <c r="AX2" s="8"/>
      <c r="AY2" s="10"/>
      <c r="AZ2" s="8"/>
      <c r="BA2" s="8"/>
      <c r="BB2" s="8"/>
      <c r="BC2" s="8"/>
      <c r="BD2" s="8"/>
      <c r="BE2" s="8"/>
      <c r="BF2" s="10"/>
      <c r="BG2" s="8"/>
      <c r="BH2" s="8"/>
      <c r="BI2" s="8"/>
      <c r="BJ2" s="8"/>
      <c r="BK2" s="8"/>
      <c r="BL2" s="8"/>
      <c r="BM2" s="10"/>
      <c r="BN2" s="8"/>
      <c r="BO2" s="8"/>
      <c r="BP2" s="8"/>
      <c r="BQ2" s="8"/>
      <c r="BR2" s="8"/>
      <c r="BS2" s="8"/>
      <c r="BT2" s="10"/>
      <c r="BU2" s="8"/>
      <c r="BV2" s="8"/>
      <c r="BW2" s="8"/>
      <c r="BX2" s="8"/>
      <c r="BY2" s="8"/>
      <c r="BZ2" s="8"/>
      <c r="CA2" s="10"/>
      <c r="CB2" s="8"/>
      <c r="CC2" s="8"/>
      <c r="CD2" s="8"/>
      <c r="CE2" s="8"/>
      <c r="CF2" s="8"/>
      <c r="CG2" s="8"/>
      <c r="CH2" s="10"/>
      <c r="CI2" s="8"/>
      <c r="CJ2" s="8"/>
      <c r="CK2" s="8"/>
      <c r="CL2" s="8"/>
      <c r="CM2" s="8"/>
      <c r="CN2" s="8"/>
      <c r="CO2" s="10"/>
      <c r="CP2" s="8"/>
      <c r="CQ2" s="8"/>
      <c r="CR2" s="8"/>
      <c r="CS2" s="8"/>
      <c r="CT2" s="8"/>
      <c r="CU2" s="8"/>
      <c r="CV2" s="10"/>
      <c r="CW2" s="8"/>
      <c r="CX2" s="8"/>
      <c r="CY2" s="8"/>
      <c r="CZ2" s="8"/>
      <c r="DA2" s="8"/>
      <c r="DB2" s="8"/>
      <c r="DC2" s="10"/>
      <c r="DD2" s="8"/>
    </row>
    <row r="3" spans="1:108" ht="12.75">
      <c r="A3" s="8"/>
      <c r="B3" s="8"/>
      <c r="C3" s="8"/>
      <c r="D3" s="8"/>
      <c r="E3" s="8"/>
      <c r="F3" s="10"/>
      <c r="G3" s="8"/>
      <c r="H3" s="8"/>
      <c r="I3" s="8"/>
      <c r="J3" s="8"/>
      <c r="K3" s="8"/>
      <c r="L3" s="8"/>
      <c r="M3" s="8"/>
      <c r="N3" s="8"/>
      <c r="O3" s="10"/>
      <c r="P3" s="8"/>
      <c r="Q3" s="8"/>
      <c r="R3" s="8"/>
      <c r="S3" s="8"/>
      <c r="T3" s="8"/>
      <c r="U3" s="8"/>
      <c r="V3" s="8"/>
      <c r="W3" s="10"/>
      <c r="X3" s="8"/>
      <c r="Y3" s="8"/>
      <c r="Z3" s="8"/>
      <c r="AA3" s="8"/>
      <c r="AB3" s="8"/>
      <c r="AC3" s="8"/>
      <c r="AD3" s="10"/>
      <c r="AE3" s="8"/>
      <c r="AF3" s="8"/>
      <c r="AG3" s="8"/>
      <c r="AH3" s="8"/>
      <c r="AI3" s="8"/>
      <c r="AJ3" s="8"/>
      <c r="AK3" s="10"/>
      <c r="AL3" s="8"/>
      <c r="AM3" s="8"/>
      <c r="AN3" s="8"/>
      <c r="AO3" s="8"/>
      <c r="AP3" s="8"/>
      <c r="AQ3" s="8"/>
      <c r="AR3" s="10"/>
      <c r="AS3" s="8"/>
      <c r="AT3" s="8"/>
      <c r="AU3" s="8"/>
      <c r="AV3" s="8"/>
      <c r="AW3" s="8"/>
      <c r="AX3" s="8"/>
      <c r="AY3" s="10"/>
      <c r="AZ3" s="8"/>
      <c r="BA3" s="8"/>
      <c r="BB3" s="8"/>
      <c r="BC3" s="8"/>
      <c r="BD3" s="8"/>
      <c r="BE3" s="8"/>
      <c r="BF3" s="10"/>
      <c r="BG3" s="8"/>
      <c r="BH3" s="8"/>
      <c r="BI3" s="8"/>
      <c r="BJ3" s="8"/>
      <c r="BK3" s="8"/>
      <c r="BL3" s="8"/>
      <c r="BM3" s="10"/>
      <c r="BN3" s="8"/>
      <c r="BO3" s="8"/>
      <c r="BP3" s="8"/>
      <c r="BQ3" s="8"/>
      <c r="BR3" s="8"/>
      <c r="BS3" s="8"/>
      <c r="BT3" s="10"/>
      <c r="BU3" s="8"/>
      <c r="BV3" s="8"/>
      <c r="BW3" s="8"/>
      <c r="BX3" s="8"/>
      <c r="BY3" s="8"/>
      <c r="BZ3" s="8"/>
      <c r="CA3" s="10"/>
      <c r="CB3" s="8"/>
      <c r="CC3" s="8"/>
      <c r="CD3" s="8"/>
      <c r="CE3" s="8"/>
      <c r="CF3" s="8"/>
      <c r="CG3" s="8"/>
      <c r="CH3" s="10"/>
      <c r="CI3" s="8"/>
      <c r="CJ3" s="8"/>
      <c r="CK3" s="8"/>
      <c r="CL3" s="8"/>
      <c r="CM3" s="8"/>
      <c r="CN3" s="8"/>
      <c r="CO3" s="10"/>
      <c r="CP3" s="8"/>
      <c r="CQ3" s="8"/>
      <c r="CR3" s="8"/>
      <c r="CS3" s="8"/>
      <c r="CT3" s="8"/>
      <c r="CU3" s="8"/>
      <c r="CV3" s="10"/>
      <c r="CW3" s="8"/>
      <c r="CX3" s="8"/>
      <c r="CY3" s="8"/>
      <c r="CZ3" s="8"/>
      <c r="DA3" s="8"/>
      <c r="DB3" s="8"/>
      <c r="DC3" s="10"/>
      <c r="DD3" s="8"/>
    </row>
    <row r="4" spans="1:108" ht="18">
      <c r="A4" s="102" t="s">
        <v>98</v>
      </c>
      <c r="B4" s="102"/>
      <c r="C4" s="102"/>
      <c r="D4" s="102"/>
      <c r="E4" s="102"/>
      <c r="F4" s="102"/>
      <c r="G4" s="102"/>
      <c r="H4" s="8"/>
      <c r="I4" s="8"/>
      <c r="J4" s="102" t="s">
        <v>142</v>
      </c>
      <c r="K4" s="102"/>
      <c r="L4" s="102"/>
      <c r="M4" s="102"/>
      <c r="N4" s="102"/>
      <c r="O4" s="102"/>
      <c r="P4" s="102"/>
      <c r="Q4" s="8"/>
      <c r="R4" s="102" t="s">
        <v>145</v>
      </c>
      <c r="S4" s="102"/>
      <c r="T4" s="102"/>
      <c r="U4" s="102"/>
      <c r="V4" s="102"/>
      <c r="W4" s="102"/>
      <c r="X4" s="102"/>
      <c r="Y4" s="102" t="s">
        <v>146</v>
      </c>
      <c r="Z4" s="102"/>
      <c r="AA4" s="102"/>
      <c r="AB4" s="102"/>
      <c r="AC4" s="102"/>
      <c r="AD4" s="102"/>
      <c r="AE4" s="102"/>
      <c r="AF4" s="102" t="s">
        <v>148</v>
      </c>
      <c r="AG4" s="102"/>
      <c r="AH4" s="102"/>
      <c r="AI4" s="102"/>
      <c r="AJ4" s="102"/>
      <c r="AK4" s="102"/>
      <c r="AL4" s="102"/>
      <c r="AM4" s="102" t="s">
        <v>150</v>
      </c>
      <c r="AN4" s="102"/>
      <c r="AO4" s="102"/>
      <c r="AP4" s="102"/>
      <c r="AQ4" s="102"/>
      <c r="AR4" s="102"/>
      <c r="AS4" s="102"/>
      <c r="AT4" s="102" t="s">
        <v>153</v>
      </c>
      <c r="AU4" s="102"/>
      <c r="AV4" s="102"/>
      <c r="AW4" s="102"/>
      <c r="AX4" s="102"/>
      <c r="AY4" s="102"/>
      <c r="AZ4" s="102"/>
      <c r="BA4" s="102" t="s">
        <v>156</v>
      </c>
      <c r="BB4" s="102"/>
      <c r="BC4" s="102"/>
      <c r="BD4" s="102"/>
      <c r="BE4" s="102"/>
      <c r="BF4" s="102"/>
      <c r="BG4" s="102"/>
      <c r="BH4" s="102" t="s">
        <v>159</v>
      </c>
      <c r="BI4" s="102"/>
      <c r="BJ4" s="102"/>
      <c r="BK4" s="102"/>
      <c r="BL4" s="102"/>
      <c r="BM4" s="102"/>
      <c r="BN4" s="102"/>
      <c r="BO4" s="102" t="s">
        <v>164</v>
      </c>
      <c r="BP4" s="102"/>
      <c r="BQ4" s="102"/>
      <c r="BR4" s="102"/>
      <c r="BS4" s="102"/>
      <c r="BT4" s="102"/>
      <c r="BU4" s="102"/>
      <c r="BV4" s="102" t="s">
        <v>168</v>
      </c>
      <c r="BW4" s="102"/>
      <c r="BX4" s="102"/>
      <c r="BY4" s="102"/>
      <c r="BZ4" s="102"/>
      <c r="CA4" s="102"/>
      <c r="CB4" s="102"/>
      <c r="CC4" s="102" t="s">
        <v>169</v>
      </c>
      <c r="CD4" s="102"/>
      <c r="CE4" s="102"/>
      <c r="CF4" s="102"/>
      <c r="CG4" s="102"/>
      <c r="CH4" s="102"/>
      <c r="CI4" s="102"/>
      <c r="CJ4" s="102" t="s">
        <v>172</v>
      </c>
      <c r="CK4" s="102"/>
      <c r="CL4" s="102"/>
      <c r="CM4" s="102"/>
      <c r="CN4" s="102"/>
      <c r="CO4" s="102"/>
      <c r="CP4" s="102"/>
      <c r="CQ4" s="102" t="s">
        <v>175</v>
      </c>
      <c r="CR4" s="102"/>
      <c r="CS4" s="102"/>
      <c r="CT4" s="102"/>
      <c r="CU4" s="102"/>
      <c r="CV4" s="102"/>
      <c r="CW4" s="102"/>
      <c r="CX4" s="102" t="s">
        <v>182</v>
      </c>
      <c r="CY4" s="102"/>
      <c r="CZ4" s="102"/>
      <c r="DA4" s="102"/>
      <c r="DB4" s="102"/>
      <c r="DC4" s="102"/>
      <c r="DD4" s="102"/>
    </row>
    <row r="5" spans="1:108" ht="18">
      <c r="A5" s="8"/>
      <c r="B5" s="8"/>
      <c r="C5" s="8"/>
      <c r="D5" s="10"/>
      <c r="E5" s="8"/>
      <c r="F5" s="10"/>
      <c r="G5" s="8"/>
      <c r="H5" s="8"/>
      <c r="I5" s="8"/>
      <c r="J5" s="8"/>
      <c r="K5" s="58" t="s">
        <v>143</v>
      </c>
      <c r="L5" s="8"/>
      <c r="M5" s="9"/>
      <c r="N5" s="8"/>
      <c r="O5" s="10"/>
      <c r="P5" s="8"/>
      <c r="Q5" s="8"/>
      <c r="R5" s="8"/>
      <c r="S5" s="58" t="s">
        <v>144</v>
      </c>
      <c r="T5" s="8"/>
      <c r="U5" s="9"/>
      <c r="V5" s="8"/>
      <c r="W5" s="10"/>
      <c r="X5" s="8"/>
      <c r="Y5" s="8"/>
      <c r="Z5" s="58" t="s">
        <v>147</v>
      </c>
      <c r="AA5" s="8"/>
      <c r="AB5" s="9"/>
      <c r="AC5" s="8"/>
      <c r="AD5" s="10"/>
      <c r="AE5" s="8"/>
      <c r="AF5" s="8"/>
      <c r="AG5" s="58" t="s">
        <v>149</v>
      </c>
      <c r="AH5" s="8"/>
      <c r="AI5" s="9"/>
      <c r="AJ5" s="8"/>
      <c r="AK5" s="10"/>
      <c r="AL5" s="8"/>
      <c r="AM5" s="8"/>
      <c r="AN5" s="58" t="s">
        <v>151</v>
      </c>
      <c r="AO5" s="8"/>
      <c r="AP5" s="9"/>
      <c r="AQ5" s="8"/>
      <c r="AR5" s="10"/>
      <c r="AS5" s="8"/>
      <c r="AT5" s="8"/>
      <c r="AU5" s="58" t="s">
        <v>154</v>
      </c>
      <c r="AV5" s="8"/>
      <c r="AW5" s="9"/>
      <c r="AX5" s="8"/>
      <c r="AY5" s="10"/>
      <c r="AZ5" s="8"/>
      <c r="BA5" s="8"/>
      <c r="BB5" s="58" t="s">
        <v>157</v>
      </c>
      <c r="BC5" s="8"/>
      <c r="BD5" s="9"/>
      <c r="BE5" s="8"/>
      <c r="BF5" s="10"/>
      <c r="BG5" s="8"/>
      <c r="BH5" s="8"/>
      <c r="BI5" s="58" t="s">
        <v>160</v>
      </c>
      <c r="BJ5" s="8"/>
      <c r="BK5" s="9"/>
      <c r="BL5" s="8"/>
      <c r="BM5" s="10"/>
      <c r="BN5" s="8"/>
      <c r="BO5" s="8"/>
      <c r="BP5" s="58" t="s">
        <v>163</v>
      </c>
      <c r="BQ5" s="8"/>
      <c r="BR5" s="9"/>
      <c r="BS5" s="8"/>
      <c r="BT5" s="10"/>
      <c r="BU5" s="8"/>
      <c r="BV5" s="8"/>
      <c r="BW5" s="58" t="s">
        <v>167</v>
      </c>
      <c r="BX5" s="8"/>
      <c r="BY5" s="9"/>
      <c r="BZ5" s="8"/>
      <c r="CA5" s="10"/>
      <c r="CB5" s="8"/>
      <c r="CC5" s="8"/>
      <c r="CD5" s="58" t="s">
        <v>170</v>
      </c>
      <c r="CE5" s="8"/>
      <c r="CF5" s="9"/>
      <c r="CG5" s="8"/>
      <c r="CH5" s="10"/>
      <c r="CI5" s="8"/>
      <c r="CJ5" s="8"/>
      <c r="CK5" s="58" t="s">
        <v>173</v>
      </c>
      <c r="CL5" s="8"/>
      <c r="CM5" s="9"/>
      <c r="CN5" s="8"/>
      <c r="CO5" s="10"/>
      <c r="CP5" s="8"/>
      <c r="CQ5" s="8"/>
      <c r="CR5" s="58" t="s">
        <v>176</v>
      </c>
      <c r="CS5" s="8"/>
      <c r="CT5" s="9"/>
      <c r="CU5" s="8"/>
      <c r="CV5" s="10"/>
      <c r="CW5" s="8"/>
      <c r="CX5" s="8"/>
      <c r="CY5" s="58" t="s">
        <v>183</v>
      </c>
      <c r="CZ5" s="8"/>
      <c r="DA5" s="9"/>
      <c r="DB5" s="8"/>
      <c r="DC5" s="10"/>
      <c r="DD5" s="8"/>
    </row>
    <row r="6" spans="1:108" ht="12.75">
      <c r="A6" s="8"/>
      <c r="B6" s="8"/>
      <c r="C6" s="8"/>
      <c r="D6" s="10"/>
      <c r="E6" s="8"/>
      <c r="F6" s="10"/>
      <c r="G6" s="8"/>
      <c r="H6" s="8"/>
      <c r="I6" s="8"/>
      <c r="J6" s="8"/>
      <c r="K6" s="8"/>
      <c r="L6" s="8"/>
      <c r="M6" s="10"/>
      <c r="N6" s="8"/>
      <c r="O6" s="10"/>
      <c r="P6" s="8"/>
      <c r="Q6" s="8"/>
      <c r="R6" s="8"/>
      <c r="S6" s="8"/>
      <c r="T6" s="8"/>
      <c r="U6" s="10"/>
      <c r="V6" s="8"/>
      <c r="W6" s="10"/>
      <c r="X6" s="8"/>
      <c r="Y6" s="8"/>
      <c r="Z6" s="8"/>
      <c r="AA6" s="8"/>
      <c r="AB6" s="10"/>
      <c r="AC6" s="8"/>
      <c r="AD6" s="10"/>
      <c r="AE6" s="8"/>
      <c r="AF6" s="8"/>
      <c r="AG6" s="8"/>
      <c r="AH6" s="8"/>
      <c r="AI6" s="10"/>
      <c r="AJ6" s="8"/>
      <c r="AK6" s="10"/>
      <c r="AL6" s="8"/>
      <c r="AM6" s="8"/>
      <c r="AN6" s="8"/>
      <c r="AO6" s="8"/>
      <c r="AP6" s="10"/>
      <c r="AQ6" s="8"/>
      <c r="AR6" s="10"/>
      <c r="AS6" s="8"/>
      <c r="AT6" s="8"/>
      <c r="AU6" s="8"/>
      <c r="AV6" s="8"/>
      <c r="AW6" s="10"/>
      <c r="AX6" s="8"/>
      <c r="AY6" s="10"/>
      <c r="AZ6" s="8"/>
      <c r="BA6" s="8"/>
      <c r="BB6" s="8"/>
      <c r="BC6" s="8"/>
      <c r="BD6" s="10"/>
      <c r="BE6" s="8"/>
      <c r="BF6" s="10"/>
      <c r="BG6" s="8"/>
      <c r="BH6" s="8"/>
      <c r="BI6" s="8"/>
      <c r="BJ6" s="8"/>
      <c r="BK6" s="10"/>
      <c r="BL6" s="8"/>
      <c r="BM6" s="10"/>
      <c r="BN6" s="8"/>
      <c r="BO6" s="8"/>
      <c r="BP6" s="8"/>
      <c r="BQ6" s="8"/>
      <c r="BR6" s="10"/>
      <c r="BS6" s="8"/>
      <c r="BT6" s="10"/>
      <c r="BU6" s="8"/>
      <c r="BV6" s="8"/>
      <c r="BW6" s="8"/>
      <c r="BX6" s="8"/>
      <c r="BY6" s="10"/>
      <c r="BZ6" s="8"/>
      <c r="CA6" s="10"/>
      <c r="CB6" s="8"/>
      <c r="CC6" s="8"/>
      <c r="CD6" s="8"/>
      <c r="CE6" s="8"/>
      <c r="CF6" s="10"/>
      <c r="CG6" s="8"/>
      <c r="CH6" s="10"/>
      <c r="CI6" s="8"/>
      <c r="CJ6" s="8"/>
      <c r="CK6" s="8"/>
      <c r="CL6" s="8"/>
      <c r="CM6" s="10"/>
      <c r="CN6" s="8"/>
      <c r="CO6" s="10"/>
      <c r="CP6" s="8"/>
      <c r="CQ6" s="8"/>
      <c r="CR6" s="8"/>
      <c r="CS6" s="8"/>
      <c r="CT6" s="10"/>
      <c r="CU6" s="8"/>
      <c r="CV6" s="10"/>
      <c r="CW6" s="8"/>
      <c r="CX6" s="8"/>
      <c r="CY6" s="8"/>
      <c r="CZ6" s="8"/>
      <c r="DA6" s="10"/>
      <c r="DB6" s="8"/>
      <c r="DC6" s="10"/>
      <c r="DD6" s="8"/>
    </row>
    <row r="7" spans="1:108" ht="12.75">
      <c r="A7" s="12" t="s">
        <v>120</v>
      </c>
      <c r="B7" s="8"/>
      <c r="C7" s="8"/>
      <c r="D7" s="10"/>
      <c r="E7" s="8"/>
      <c r="F7" s="10"/>
      <c r="G7" s="8"/>
      <c r="H7" s="8"/>
      <c r="I7" s="8"/>
      <c r="J7" s="12" t="s">
        <v>120</v>
      </c>
      <c r="K7" s="8"/>
      <c r="L7" s="8"/>
      <c r="M7" s="10"/>
      <c r="N7" s="8"/>
      <c r="O7" s="10"/>
      <c r="P7" s="8"/>
      <c r="Q7" s="8"/>
      <c r="R7" s="12" t="s">
        <v>120</v>
      </c>
      <c r="S7" s="8"/>
      <c r="T7" s="8"/>
      <c r="U7" s="10"/>
      <c r="V7" s="8"/>
      <c r="W7" s="10"/>
      <c r="X7" s="8"/>
      <c r="Y7" s="12" t="s">
        <v>120</v>
      </c>
      <c r="Z7" s="8"/>
      <c r="AA7" s="8"/>
      <c r="AB7" s="10"/>
      <c r="AC7" s="8"/>
      <c r="AD7" s="10"/>
      <c r="AE7" s="8"/>
      <c r="AF7" s="12" t="s">
        <v>120</v>
      </c>
      <c r="AG7" s="8"/>
      <c r="AH7" s="8"/>
      <c r="AI7" s="10"/>
      <c r="AJ7" s="8"/>
      <c r="AK7" s="10"/>
      <c r="AL7" s="8"/>
      <c r="AM7" s="12" t="s">
        <v>120</v>
      </c>
      <c r="AN7" s="8"/>
      <c r="AO7" s="8"/>
      <c r="AP7" s="10"/>
      <c r="AQ7" s="8"/>
      <c r="AR7" s="10"/>
      <c r="AS7" s="8"/>
      <c r="AT7" s="12" t="s">
        <v>120</v>
      </c>
      <c r="AU7" s="8"/>
      <c r="AV7" s="8"/>
      <c r="AW7" s="10"/>
      <c r="AX7" s="8"/>
      <c r="AY7" s="10"/>
      <c r="AZ7" s="8"/>
      <c r="BA7" s="12" t="s">
        <v>120</v>
      </c>
      <c r="BB7" s="8"/>
      <c r="BC7" s="8"/>
      <c r="BD7" s="10"/>
      <c r="BE7" s="8"/>
      <c r="BF7" s="10"/>
      <c r="BG7" s="8"/>
      <c r="BH7" s="12" t="s">
        <v>120</v>
      </c>
      <c r="BI7" s="8"/>
      <c r="BJ7" s="8"/>
      <c r="BK7" s="10"/>
      <c r="BL7" s="8"/>
      <c r="BM7" s="10"/>
      <c r="BN7" s="8"/>
      <c r="BO7" s="12" t="s">
        <v>120</v>
      </c>
      <c r="BP7" s="8"/>
      <c r="BQ7" s="8"/>
      <c r="BR7" s="10"/>
      <c r="BS7" s="8"/>
      <c r="BT7" s="10"/>
      <c r="BU7" s="8"/>
      <c r="BV7" s="12" t="s">
        <v>120</v>
      </c>
      <c r="BW7" s="8"/>
      <c r="BX7" s="8"/>
      <c r="BY7" s="10"/>
      <c r="BZ7" s="8"/>
      <c r="CA7" s="10"/>
      <c r="CB7" s="8"/>
      <c r="CC7" s="12" t="s">
        <v>120</v>
      </c>
      <c r="CD7" s="8"/>
      <c r="CE7" s="8"/>
      <c r="CF7" s="10"/>
      <c r="CG7" s="8"/>
      <c r="CH7" s="10"/>
      <c r="CI7" s="8"/>
      <c r="CJ7" s="12" t="s">
        <v>120</v>
      </c>
      <c r="CK7" s="8"/>
      <c r="CL7" s="8"/>
      <c r="CM7" s="10"/>
      <c r="CN7" s="8"/>
      <c r="CO7" s="10"/>
      <c r="CP7" s="8"/>
      <c r="CQ7" s="12" t="s">
        <v>120</v>
      </c>
      <c r="CR7" s="8"/>
      <c r="CS7" s="8"/>
      <c r="CT7" s="10"/>
      <c r="CU7" s="8"/>
      <c r="CV7" s="10"/>
      <c r="CW7" s="8"/>
      <c r="CX7" s="12" t="s">
        <v>120</v>
      </c>
      <c r="CY7" s="8"/>
      <c r="CZ7" s="8"/>
      <c r="DA7" s="10"/>
      <c r="DB7" s="8"/>
      <c r="DC7" s="10"/>
      <c r="DD7" s="8"/>
    </row>
    <row r="8" spans="1:108" ht="12.75">
      <c r="A8" s="13" t="s">
        <v>12</v>
      </c>
      <c r="B8" s="8"/>
      <c r="C8" s="8"/>
      <c r="D8" s="10"/>
      <c r="E8" s="8"/>
      <c r="F8" s="10"/>
      <c r="G8" s="8"/>
      <c r="H8" s="8"/>
      <c r="I8" s="8"/>
      <c r="J8" s="13" t="s">
        <v>12</v>
      </c>
      <c r="K8" s="8"/>
      <c r="L8" s="8"/>
      <c r="M8" s="10"/>
      <c r="N8" s="8"/>
      <c r="O8" s="10"/>
      <c r="P8" s="8"/>
      <c r="Q8" s="8"/>
      <c r="R8" s="13" t="s">
        <v>12</v>
      </c>
      <c r="S8" s="8"/>
      <c r="T8" s="8"/>
      <c r="U8" s="10"/>
      <c r="V8" s="8"/>
      <c r="W8" s="10"/>
      <c r="X8" s="8"/>
      <c r="Y8" s="13" t="s">
        <v>12</v>
      </c>
      <c r="Z8" s="8"/>
      <c r="AA8" s="8"/>
      <c r="AB8" s="10"/>
      <c r="AC8" s="8"/>
      <c r="AD8" s="10"/>
      <c r="AE8" s="8"/>
      <c r="AF8" s="13" t="s">
        <v>12</v>
      </c>
      <c r="AG8" s="8"/>
      <c r="AH8" s="8"/>
      <c r="AI8" s="10"/>
      <c r="AJ8" s="8"/>
      <c r="AK8" s="10"/>
      <c r="AL8" s="8"/>
      <c r="AM8" s="13" t="s">
        <v>12</v>
      </c>
      <c r="AN8" s="8"/>
      <c r="AO8" s="8"/>
      <c r="AP8" s="10"/>
      <c r="AQ8" s="8"/>
      <c r="AR8" s="10"/>
      <c r="AS8" s="8"/>
      <c r="AT8" s="13" t="s">
        <v>12</v>
      </c>
      <c r="AU8" s="8"/>
      <c r="AV8" s="8"/>
      <c r="AW8" s="10"/>
      <c r="AX8" s="8"/>
      <c r="AY8" s="10"/>
      <c r="AZ8" s="8"/>
      <c r="BA8" s="13" t="s">
        <v>12</v>
      </c>
      <c r="BB8" s="8"/>
      <c r="BC8" s="8"/>
      <c r="BD8" s="10"/>
      <c r="BE8" s="8"/>
      <c r="BF8" s="10"/>
      <c r="BG8" s="8"/>
      <c r="BH8" s="13" t="s">
        <v>12</v>
      </c>
      <c r="BI8" s="8"/>
      <c r="BJ8" s="8"/>
      <c r="BK8" s="10"/>
      <c r="BL8" s="8"/>
      <c r="BM8" s="10"/>
      <c r="BN8" s="8"/>
      <c r="BO8" s="13" t="s">
        <v>12</v>
      </c>
      <c r="BP8" s="8"/>
      <c r="BQ8" s="8"/>
      <c r="BR8" s="10"/>
      <c r="BS8" s="8"/>
      <c r="BT8" s="10"/>
      <c r="BU8" s="8"/>
      <c r="BV8" s="13" t="s">
        <v>12</v>
      </c>
      <c r="BW8" s="8"/>
      <c r="BX8" s="8"/>
      <c r="BY8" s="10"/>
      <c r="BZ8" s="8"/>
      <c r="CA8" s="10"/>
      <c r="CB8" s="8"/>
      <c r="CC8" s="13" t="s">
        <v>12</v>
      </c>
      <c r="CD8" s="8"/>
      <c r="CE8" s="8"/>
      <c r="CF8" s="10"/>
      <c r="CG8" s="8"/>
      <c r="CH8" s="10"/>
      <c r="CI8" s="8"/>
      <c r="CJ8" s="13" t="s">
        <v>12</v>
      </c>
      <c r="CK8" s="8"/>
      <c r="CL8" s="8"/>
      <c r="CM8" s="10"/>
      <c r="CN8" s="8"/>
      <c r="CO8" s="10"/>
      <c r="CP8" s="8"/>
      <c r="CQ8" s="13" t="s">
        <v>12</v>
      </c>
      <c r="CR8" s="8"/>
      <c r="CS8" s="8"/>
      <c r="CT8" s="10"/>
      <c r="CU8" s="8"/>
      <c r="CV8" s="10"/>
      <c r="CW8" s="8"/>
      <c r="CX8" s="13" t="s">
        <v>12</v>
      </c>
      <c r="CY8" s="8"/>
      <c r="CZ8" s="8"/>
      <c r="DA8" s="10"/>
      <c r="DB8" s="8"/>
      <c r="DC8" s="10"/>
      <c r="DD8" s="8"/>
    </row>
    <row r="9" spans="1:108" ht="12.75">
      <c r="A9" s="8"/>
      <c r="B9" s="8"/>
      <c r="C9" s="8"/>
      <c r="D9" s="10"/>
      <c r="E9" s="8"/>
      <c r="F9" s="10"/>
      <c r="G9" s="8"/>
      <c r="H9" s="8"/>
      <c r="I9" s="8"/>
      <c r="J9" s="8"/>
      <c r="K9" s="8"/>
      <c r="L9" s="8"/>
      <c r="M9" s="10"/>
      <c r="N9" s="8"/>
      <c r="O9" s="10"/>
      <c r="P9" s="8"/>
      <c r="Q9" s="8"/>
      <c r="R9" s="8"/>
      <c r="S9" s="8"/>
      <c r="T9" s="8"/>
      <c r="U9" s="10"/>
      <c r="V9" s="8"/>
      <c r="W9" s="10"/>
      <c r="X9" s="8"/>
      <c r="Y9" s="8"/>
      <c r="Z9" s="8"/>
      <c r="AA9" s="8"/>
      <c r="AB9" s="10"/>
      <c r="AC9" s="8"/>
      <c r="AD9" s="10"/>
      <c r="AE9" s="8"/>
      <c r="AF9" s="8"/>
      <c r="AG9" s="8"/>
      <c r="AH9" s="8"/>
      <c r="AI9" s="10"/>
      <c r="AJ9" s="8"/>
      <c r="AK9" s="10"/>
      <c r="AL9" s="8"/>
      <c r="AM9" s="8"/>
      <c r="AN9" s="8"/>
      <c r="AO9" s="8"/>
      <c r="AP9" s="10"/>
      <c r="AQ9" s="8"/>
      <c r="AR9" s="10"/>
      <c r="AS9" s="8"/>
      <c r="AT9" s="8"/>
      <c r="AU9" s="8"/>
      <c r="AV9" s="8"/>
      <c r="AW9" s="10"/>
      <c r="AX9" s="8"/>
      <c r="AY9" s="10"/>
      <c r="AZ9" s="8"/>
      <c r="BA9" s="8"/>
      <c r="BB9" s="8"/>
      <c r="BC9" s="8"/>
      <c r="BD9" s="10"/>
      <c r="BE9" s="8"/>
      <c r="BF9" s="10"/>
      <c r="BG9" s="8"/>
      <c r="BH9" s="8"/>
      <c r="BI9" s="8"/>
      <c r="BJ9" s="8"/>
      <c r="BK9" s="10"/>
      <c r="BL9" s="8"/>
      <c r="BM9" s="10"/>
      <c r="BN9" s="8"/>
      <c r="BO9" s="8"/>
      <c r="BP9" s="8"/>
      <c r="BQ9" s="8"/>
      <c r="BR9" s="10"/>
      <c r="BS9" s="8"/>
      <c r="BT9" s="10"/>
      <c r="BU9" s="8"/>
      <c r="BV9" s="8"/>
      <c r="BW9" s="8"/>
      <c r="BX9" s="8"/>
      <c r="BY9" s="10"/>
      <c r="BZ9" s="8"/>
      <c r="CA9" s="10"/>
      <c r="CB9" s="8"/>
      <c r="CC9" s="8"/>
      <c r="CD9" s="8"/>
      <c r="CE9" s="8"/>
      <c r="CF9" s="10"/>
      <c r="CG9" s="8"/>
      <c r="CH9" s="10"/>
      <c r="CI9" s="8"/>
      <c r="CJ9" s="8"/>
      <c r="CK9" s="8"/>
      <c r="CL9" s="8"/>
      <c r="CM9" s="10"/>
      <c r="CN9" s="8"/>
      <c r="CO9" s="10"/>
      <c r="CP9" s="8"/>
      <c r="CQ9" s="8"/>
      <c r="CR9" s="8"/>
      <c r="CS9" s="8"/>
      <c r="CT9" s="10"/>
      <c r="CU9" s="8"/>
      <c r="CV9" s="10"/>
      <c r="CW9" s="8"/>
      <c r="CX9" s="8"/>
      <c r="CY9" s="8"/>
      <c r="CZ9" s="8"/>
      <c r="DA9" s="10"/>
      <c r="DB9" s="8"/>
      <c r="DC9" s="10"/>
      <c r="DD9" s="8"/>
    </row>
    <row r="10" spans="1:108" ht="12.75">
      <c r="A10" s="8" t="s">
        <v>13</v>
      </c>
      <c r="B10" s="8"/>
      <c r="C10" s="8"/>
      <c r="D10" s="15">
        <f>+D31/F31</f>
        <v>4814.051430903733</v>
      </c>
      <c r="E10" s="8"/>
      <c r="F10" s="10"/>
      <c r="G10" s="8"/>
      <c r="H10" s="8"/>
      <c r="I10" s="8"/>
      <c r="J10" s="8" t="s">
        <v>13</v>
      </c>
      <c r="K10" s="8"/>
      <c r="L10" s="8"/>
      <c r="M10" s="15">
        <v>5480.395677687051</v>
      </c>
      <c r="N10" s="8"/>
      <c r="O10" s="10"/>
      <c r="P10" s="8"/>
      <c r="Q10" s="8"/>
      <c r="R10" s="8" t="s">
        <v>13</v>
      </c>
      <c r="S10" s="8"/>
      <c r="T10" s="8"/>
      <c r="U10" s="15">
        <v>5467.011997633464</v>
      </c>
      <c r="V10" s="8"/>
      <c r="W10" s="10"/>
      <c r="X10" s="8"/>
      <c r="Y10" s="8" t="s">
        <v>13</v>
      </c>
      <c r="Z10" s="8"/>
      <c r="AA10" s="8"/>
      <c r="AB10" s="15">
        <v>5568.041880935994</v>
      </c>
      <c r="AC10" s="8"/>
      <c r="AD10" s="10"/>
      <c r="AE10" s="8"/>
      <c r="AF10" s="8" t="s">
        <v>13</v>
      </c>
      <c r="AG10" s="8"/>
      <c r="AH10" s="8"/>
      <c r="AI10" s="15">
        <v>5650.65299690315</v>
      </c>
      <c r="AJ10" s="8"/>
      <c r="AK10" s="10"/>
      <c r="AL10" s="8"/>
      <c r="AM10" s="8" t="s">
        <v>13</v>
      </c>
      <c r="AN10" s="8"/>
      <c r="AO10" s="8"/>
      <c r="AP10" s="15">
        <v>5766.100074874621</v>
      </c>
      <c r="AQ10" s="8"/>
      <c r="AR10" s="10"/>
      <c r="AS10" s="8"/>
      <c r="AT10" s="8" t="s">
        <v>13</v>
      </c>
      <c r="AU10" s="8"/>
      <c r="AV10" s="8"/>
      <c r="AW10" s="15">
        <v>5830.303171793387</v>
      </c>
      <c r="AX10" s="8"/>
      <c r="AY10" s="10"/>
      <c r="AZ10" s="8"/>
      <c r="BA10" s="8" t="s">
        <v>13</v>
      </c>
      <c r="BB10" s="8"/>
      <c r="BC10" s="8"/>
      <c r="BD10" s="15">
        <v>5957.826830226413</v>
      </c>
      <c r="BE10" s="8"/>
      <c r="BF10" s="10"/>
      <c r="BG10" s="8"/>
      <c r="BH10" s="8" t="s">
        <v>13</v>
      </c>
      <c r="BI10" s="8"/>
      <c r="BJ10" s="8"/>
      <c r="BK10" s="15">
        <v>6215.845596218116</v>
      </c>
      <c r="BL10" s="8"/>
      <c r="BM10" s="10"/>
      <c r="BN10" s="8"/>
      <c r="BO10" s="8" t="s">
        <v>13</v>
      </c>
      <c r="BP10" s="8"/>
      <c r="BQ10" s="8"/>
      <c r="BR10" s="15">
        <v>6171.858372564576</v>
      </c>
      <c r="BS10" s="8"/>
      <c r="BT10" s="10"/>
      <c r="BU10" s="8"/>
      <c r="BV10" s="8" t="s">
        <v>13</v>
      </c>
      <c r="BW10" s="8"/>
      <c r="BX10" s="8"/>
      <c r="BY10" s="15">
        <v>6103.915774245741</v>
      </c>
      <c r="BZ10" s="8"/>
      <c r="CA10" s="10"/>
      <c r="CB10" s="8"/>
      <c r="CC10" s="8" t="s">
        <v>13</v>
      </c>
      <c r="CD10" s="8"/>
      <c r="CE10" s="8"/>
      <c r="CF10" s="15">
        <v>6014.766633784196</v>
      </c>
      <c r="CG10" s="8"/>
      <c r="CH10" s="10"/>
      <c r="CI10" s="8"/>
      <c r="CJ10" s="8" t="s">
        <v>13</v>
      </c>
      <c r="CK10" s="8"/>
      <c r="CL10" s="8"/>
      <c r="CM10" s="15">
        <v>5964.725112402677</v>
      </c>
      <c r="CN10" s="8"/>
      <c r="CO10" s="10"/>
      <c r="CP10" s="8"/>
      <c r="CQ10" s="8" t="s">
        <v>13</v>
      </c>
      <c r="CR10" s="8"/>
      <c r="CS10" s="8"/>
      <c r="CT10" s="15">
        <v>5973.976191728428</v>
      </c>
      <c r="CU10" s="8"/>
      <c r="CV10" s="10"/>
      <c r="CW10" s="8"/>
      <c r="CX10" s="8" t="s">
        <v>13</v>
      </c>
      <c r="CY10" s="8"/>
      <c r="CZ10" s="8"/>
      <c r="DA10" s="15">
        <v>5932.024715218222</v>
      </c>
      <c r="DB10" s="8"/>
      <c r="DC10" s="10"/>
      <c r="DD10" s="8"/>
    </row>
    <row r="11" spans="1:108" ht="12.75">
      <c r="A11" s="8" t="s">
        <v>14</v>
      </c>
      <c r="B11" s="8"/>
      <c r="C11" s="8"/>
      <c r="D11" s="16">
        <v>24.42057040758364</v>
      </c>
      <c r="E11" s="8" t="s">
        <v>11</v>
      </c>
      <c r="F11" s="10"/>
      <c r="G11" s="8"/>
      <c r="H11" s="8"/>
      <c r="I11" s="32"/>
      <c r="J11" s="8" t="s">
        <v>14</v>
      </c>
      <c r="K11" s="8"/>
      <c r="L11" s="8"/>
      <c r="M11" s="16">
        <v>26.858795032554365</v>
      </c>
      <c r="N11" s="8" t="s">
        <v>11</v>
      </c>
      <c r="O11" s="10"/>
      <c r="P11" s="8"/>
      <c r="Q11" s="8"/>
      <c r="R11" s="8" t="s">
        <v>14</v>
      </c>
      <c r="S11" s="8"/>
      <c r="T11" s="8"/>
      <c r="U11" s="16">
        <v>28.51606296893124</v>
      </c>
      <c r="V11" s="8" t="s">
        <v>11</v>
      </c>
      <c r="W11" s="10"/>
      <c r="X11" s="8"/>
      <c r="Y11" s="8" t="s">
        <v>14</v>
      </c>
      <c r="Z11" s="8"/>
      <c r="AA11" s="8"/>
      <c r="AB11" s="16">
        <v>27.958087921486843</v>
      </c>
      <c r="AC11" s="8" t="s">
        <v>11</v>
      </c>
      <c r="AD11" s="10"/>
      <c r="AE11" s="8"/>
      <c r="AF11" s="8" t="s">
        <v>14</v>
      </c>
      <c r="AG11" s="8"/>
      <c r="AH11" s="8"/>
      <c r="AI11" s="16">
        <v>27.12</v>
      </c>
      <c r="AJ11" s="8" t="s">
        <v>11</v>
      </c>
      <c r="AK11" s="10"/>
      <c r="AL11" s="8"/>
      <c r="AM11" s="8" t="s">
        <v>14</v>
      </c>
      <c r="AN11" s="8"/>
      <c r="AO11" s="8"/>
      <c r="AP11" s="16">
        <v>28.0569801375837</v>
      </c>
      <c r="AQ11" s="8" t="s">
        <v>11</v>
      </c>
      <c r="AR11" s="10"/>
      <c r="AS11" s="8"/>
      <c r="AT11" s="8" t="s">
        <v>14</v>
      </c>
      <c r="AU11" s="8"/>
      <c r="AV11" s="8"/>
      <c r="AW11" s="16">
        <v>28.64128813823679</v>
      </c>
      <c r="AX11" s="8" t="s">
        <v>11</v>
      </c>
      <c r="AY11" s="10"/>
      <c r="AZ11" s="8"/>
      <c r="BA11" s="8" t="s">
        <v>14</v>
      </c>
      <c r="BB11" s="8"/>
      <c r="BC11" s="8"/>
      <c r="BD11" s="16">
        <v>28.139020852299115</v>
      </c>
      <c r="BE11" s="8" t="s">
        <v>11</v>
      </c>
      <c r="BF11" s="10"/>
      <c r="BG11" s="8"/>
      <c r="BH11" s="8" t="s">
        <v>14</v>
      </c>
      <c r="BI11" s="8"/>
      <c r="BJ11" s="8"/>
      <c r="BK11" s="16">
        <v>30.729090404270472</v>
      </c>
      <c r="BL11" s="8" t="s">
        <v>11</v>
      </c>
      <c r="BM11" s="10"/>
      <c r="BN11" s="8"/>
      <c r="BO11" s="8" t="s">
        <v>14</v>
      </c>
      <c r="BP11" s="8"/>
      <c r="BQ11" s="8"/>
      <c r="BR11" s="16">
        <v>33.33964417963078</v>
      </c>
      <c r="BS11" s="8" t="s">
        <v>11</v>
      </c>
      <c r="BT11" s="10"/>
      <c r="BU11" s="8"/>
      <c r="BV11" s="8" t="s">
        <v>14</v>
      </c>
      <c r="BW11" s="8"/>
      <c r="BX11" s="8"/>
      <c r="BY11" s="16">
        <v>36.03374176460716</v>
      </c>
      <c r="BZ11" s="8" t="s">
        <v>11</v>
      </c>
      <c r="CA11" s="10"/>
      <c r="CB11" s="8"/>
      <c r="CC11" s="8" t="s">
        <v>14</v>
      </c>
      <c r="CD11" s="8"/>
      <c r="CE11" s="8"/>
      <c r="CF11" s="16">
        <v>38.5653243170535</v>
      </c>
      <c r="CG11" s="8" t="s">
        <v>11</v>
      </c>
      <c r="CH11" s="10"/>
      <c r="CI11" s="8"/>
      <c r="CJ11" s="8" t="s">
        <v>14</v>
      </c>
      <c r="CK11" s="8"/>
      <c r="CL11" s="8"/>
      <c r="CM11" s="16">
        <v>41.33258639486481</v>
      </c>
      <c r="CN11" s="8" t="s">
        <v>11</v>
      </c>
      <c r="CO11" s="10"/>
      <c r="CP11" s="8"/>
      <c r="CQ11" s="8" t="s">
        <v>14</v>
      </c>
      <c r="CR11" s="8"/>
      <c r="CS11" s="8"/>
      <c r="CT11" s="16">
        <v>43.99329522519601</v>
      </c>
      <c r="CU11" s="8" t="s">
        <v>11</v>
      </c>
      <c r="CV11" s="10"/>
      <c r="CW11" s="8"/>
      <c r="CX11" s="8" t="s">
        <v>14</v>
      </c>
      <c r="CY11" s="8"/>
      <c r="CZ11" s="8"/>
      <c r="DA11" s="16">
        <v>46.58737871752496</v>
      </c>
      <c r="DB11" s="8" t="s">
        <v>11</v>
      </c>
      <c r="DC11" s="10"/>
      <c r="DD11" s="8"/>
    </row>
    <row r="12" spans="1:108" ht="12.75">
      <c r="A12" s="8" t="s">
        <v>15</v>
      </c>
      <c r="B12" s="8"/>
      <c r="C12" s="8"/>
      <c r="D12" s="17">
        <v>0.11470544345489875</v>
      </c>
      <c r="E12" s="8"/>
      <c r="F12" s="10"/>
      <c r="G12" s="8"/>
      <c r="H12" s="8"/>
      <c r="I12" s="32"/>
      <c r="J12" s="8" t="s">
        <v>15</v>
      </c>
      <c r="K12" s="8"/>
      <c r="L12" s="8"/>
      <c r="M12" s="17">
        <v>0.11458967945964847</v>
      </c>
      <c r="N12" s="8"/>
      <c r="O12" s="10"/>
      <c r="P12" s="8"/>
      <c r="Q12" s="8"/>
      <c r="R12" s="8" t="s">
        <v>15</v>
      </c>
      <c r="S12" s="8"/>
      <c r="T12" s="8"/>
      <c r="U12" s="17">
        <v>0.11589256540417216</v>
      </c>
      <c r="V12" s="8"/>
      <c r="W12" s="10"/>
      <c r="X12" s="8"/>
      <c r="Y12" s="8" t="s">
        <v>15</v>
      </c>
      <c r="Z12" s="8"/>
      <c r="AA12" s="8"/>
      <c r="AB12" s="17">
        <v>0.11954601720539722</v>
      </c>
      <c r="AC12" s="8"/>
      <c r="AD12" s="10"/>
      <c r="AE12" s="8"/>
      <c r="AF12" s="8" t="s">
        <v>15</v>
      </c>
      <c r="AG12" s="8"/>
      <c r="AH12" s="8"/>
      <c r="AI12" s="17">
        <v>0.12204837301590382</v>
      </c>
      <c r="AJ12" s="8"/>
      <c r="AK12" s="10"/>
      <c r="AL12" s="8"/>
      <c r="AM12" s="8" t="s">
        <v>15</v>
      </c>
      <c r="AN12" s="8"/>
      <c r="AO12" s="8"/>
      <c r="AP12" s="17">
        <v>0.12489267090440619</v>
      </c>
      <c r="AQ12" s="8"/>
      <c r="AR12" s="10"/>
      <c r="AS12" s="8"/>
      <c r="AT12" s="8" t="s">
        <v>15</v>
      </c>
      <c r="AU12" s="8"/>
      <c r="AV12" s="8"/>
      <c r="AW12" s="17">
        <v>0.12672788517257316</v>
      </c>
      <c r="AX12" s="8"/>
      <c r="AY12" s="10"/>
      <c r="AZ12" s="8"/>
      <c r="BA12" s="8" t="s">
        <v>15</v>
      </c>
      <c r="BB12" s="8"/>
      <c r="BC12" s="8"/>
      <c r="BD12" s="17">
        <v>0.12981016987164978</v>
      </c>
      <c r="BE12" s="8"/>
      <c r="BF12" s="10"/>
      <c r="BG12" s="8"/>
      <c r="BH12" s="8" t="s">
        <v>15</v>
      </c>
      <c r="BI12" s="8"/>
      <c r="BJ12" s="8"/>
      <c r="BK12" s="17">
        <v>0.12995784693721554</v>
      </c>
      <c r="BL12" s="8"/>
      <c r="BM12" s="10"/>
      <c r="BN12" s="8"/>
      <c r="BO12" s="8" t="s">
        <v>15</v>
      </c>
      <c r="BP12" s="8"/>
      <c r="BQ12" s="8"/>
      <c r="BR12" s="17">
        <v>0.12994607351730328</v>
      </c>
      <c r="BS12" s="8"/>
      <c r="BT12" s="10"/>
      <c r="BU12" s="8"/>
      <c r="BV12" s="8" t="s">
        <v>15</v>
      </c>
      <c r="BW12" s="8"/>
      <c r="BX12" s="8"/>
      <c r="BY12" s="17">
        <v>0.12974741730603717</v>
      </c>
      <c r="BZ12" s="8"/>
      <c r="CA12" s="10"/>
      <c r="CB12" s="8"/>
      <c r="CC12" s="8" t="s">
        <v>15</v>
      </c>
      <c r="CD12" s="8"/>
      <c r="CE12" s="8"/>
      <c r="CF12" s="17">
        <v>0.12975845230929767</v>
      </c>
      <c r="CG12" s="8"/>
      <c r="CH12" s="10"/>
      <c r="CI12" s="8"/>
      <c r="CJ12" s="8" t="s">
        <v>15</v>
      </c>
      <c r="CK12" s="8"/>
      <c r="CL12" s="8"/>
      <c r="CM12" s="17">
        <v>0.129280020674731</v>
      </c>
      <c r="CN12" s="8"/>
      <c r="CO12" s="10"/>
      <c r="CP12" s="8"/>
      <c r="CQ12" s="8" t="s">
        <v>15</v>
      </c>
      <c r="CR12" s="8"/>
      <c r="CS12" s="8"/>
      <c r="CT12" s="17">
        <v>0.12883211753533355</v>
      </c>
      <c r="CU12" s="8"/>
      <c r="CV12" s="10"/>
      <c r="CW12" s="8"/>
      <c r="CX12" s="8" t="s">
        <v>15</v>
      </c>
      <c r="CY12" s="8"/>
      <c r="CZ12" s="8"/>
      <c r="DA12" s="17">
        <v>0.12839817960406238</v>
      </c>
      <c r="DB12" s="8"/>
      <c r="DC12" s="10"/>
      <c r="DD12" s="8"/>
    </row>
    <row r="13" spans="1:108" ht="12.75">
      <c r="A13" s="8" t="s">
        <v>16</v>
      </c>
      <c r="B13" s="8"/>
      <c r="C13" s="8"/>
      <c r="D13" s="16">
        <v>3.6041047721161803</v>
      </c>
      <c r="E13" s="8" t="s">
        <v>79</v>
      </c>
      <c r="F13" s="10"/>
      <c r="G13" s="8"/>
      <c r="H13" s="8"/>
      <c r="I13" s="32"/>
      <c r="J13" s="8" t="s">
        <v>16</v>
      </c>
      <c r="K13" s="8"/>
      <c r="L13" s="8"/>
      <c r="M13" s="16">
        <v>3.4578424694030327</v>
      </c>
      <c r="N13" s="8" t="s">
        <v>79</v>
      </c>
      <c r="O13" s="10"/>
      <c r="P13" s="8"/>
      <c r="Q13" s="8"/>
      <c r="R13" s="8" t="s">
        <v>16</v>
      </c>
      <c r="S13" s="8"/>
      <c r="T13" s="8"/>
      <c r="U13" s="16">
        <v>3.5107067699680887</v>
      </c>
      <c r="V13" s="8" t="s">
        <v>79</v>
      </c>
      <c r="W13" s="10"/>
      <c r="X13" s="8"/>
      <c r="Y13" s="8" t="s">
        <v>16</v>
      </c>
      <c r="Z13" s="8"/>
      <c r="AA13" s="8"/>
      <c r="AB13" s="16">
        <v>3.9378989018671593</v>
      </c>
      <c r="AC13" s="8" t="s">
        <v>79</v>
      </c>
      <c r="AD13" s="10"/>
      <c r="AE13" s="8"/>
      <c r="AF13" s="8" t="s">
        <v>16</v>
      </c>
      <c r="AG13" s="8"/>
      <c r="AH13" s="8"/>
      <c r="AI13" s="16">
        <v>4.204209154268422</v>
      </c>
      <c r="AJ13" s="8" t="s">
        <v>79</v>
      </c>
      <c r="AK13" s="10"/>
      <c r="AL13" s="8"/>
      <c r="AM13" s="8" t="s">
        <v>16</v>
      </c>
      <c r="AN13" s="8"/>
      <c r="AO13" s="8"/>
      <c r="AP13" s="16">
        <v>4.51393592450716</v>
      </c>
      <c r="AQ13" s="8" t="s">
        <v>79</v>
      </c>
      <c r="AR13" s="10"/>
      <c r="AS13" s="8"/>
      <c r="AT13" s="8" t="s">
        <v>16</v>
      </c>
      <c r="AU13" s="8"/>
      <c r="AV13" s="8"/>
      <c r="AW13" s="16">
        <v>4.652262293492251</v>
      </c>
      <c r="AX13" s="8" t="s">
        <v>79</v>
      </c>
      <c r="AY13" s="10"/>
      <c r="AZ13" s="8"/>
      <c r="BA13" s="8" t="s">
        <v>16</v>
      </c>
      <c r="BB13" s="8"/>
      <c r="BC13" s="8"/>
      <c r="BD13" s="16">
        <v>4.822444816611518</v>
      </c>
      <c r="BE13" s="8" t="s">
        <v>79</v>
      </c>
      <c r="BF13" s="10"/>
      <c r="BG13" s="8"/>
      <c r="BH13" s="8" t="s">
        <v>16</v>
      </c>
      <c r="BI13" s="8"/>
      <c r="BJ13" s="8"/>
      <c r="BK13" s="16">
        <v>4.666740287337111</v>
      </c>
      <c r="BL13" s="8" t="s">
        <v>79</v>
      </c>
      <c r="BM13" s="10"/>
      <c r="BN13" s="8"/>
      <c r="BO13" s="8" t="s">
        <v>16</v>
      </c>
      <c r="BP13" s="8"/>
      <c r="BQ13" s="8"/>
      <c r="BR13" s="16">
        <v>4.48138084547544</v>
      </c>
      <c r="BS13" s="8" t="s">
        <v>79</v>
      </c>
      <c r="BT13" s="10"/>
      <c r="BU13" s="8"/>
      <c r="BV13" s="8" t="s">
        <v>16</v>
      </c>
      <c r="BW13" s="8"/>
      <c r="BX13" s="8"/>
      <c r="BY13" s="16">
        <v>4.280357200156938</v>
      </c>
      <c r="BZ13" s="8" t="s">
        <v>79</v>
      </c>
      <c r="CA13" s="10"/>
      <c r="CB13" s="8"/>
      <c r="CC13" s="8" t="s">
        <v>16</v>
      </c>
      <c r="CD13" s="8"/>
      <c r="CE13" s="8"/>
      <c r="CF13" s="16">
        <v>4.088908764404677</v>
      </c>
      <c r="CG13" s="8" t="s">
        <v>79</v>
      </c>
      <c r="CH13" s="10"/>
      <c r="CI13" s="8"/>
      <c r="CJ13" s="8" t="s">
        <v>16</v>
      </c>
      <c r="CK13" s="8"/>
      <c r="CL13" s="8"/>
      <c r="CM13" s="16">
        <v>3.866279688610051</v>
      </c>
      <c r="CN13" s="8" t="s">
        <v>79</v>
      </c>
      <c r="CO13" s="10"/>
      <c r="CP13" s="8"/>
      <c r="CQ13" s="8" t="s">
        <v>16</v>
      </c>
      <c r="CR13" s="8"/>
      <c r="CS13" s="8"/>
      <c r="CT13" s="16">
        <v>3.650932831955615</v>
      </c>
      <c r="CU13" s="8" t="s">
        <v>79</v>
      </c>
      <c r="CV13" s="10"/>
      <c r="CW13" s="8"/>
      <c r="CX13" s="8" t="s">
        <v>16</v>
      </c>
      <c r="CY13" s="8"/>
      <c r="CZ13" s="8"/>
      <c r="DA13" s="16">
        <v>3.423946862959914</v>
      </c>
      <c r="DB13" s="8" t="s">
        <v>79</v>
      </c>
      <c r="DC13" s="10"/>
      <c r="DD13" s="8"/>
    </row>
    <row r="14" spans="1:108" ht="12.75">
      <c r="A14" s="8"/>
      <c r="B14" s="8"/>
      <c r="C14" s="8"/>
      <c r="D14" s="10"/>
      <c r="E14" s="8"/>
      <c r="F14" s="10"/>
      <c r="G14" s="8"/>
      <c r="H14" s="8"/>
      <c r="I14" s="8"/>
      <c r="J14" s="8"/>
      <c r="K14" s="8"/>
      <c r="L14" s="8"/>
      <c r="M14" s="10"/>
      <c r="N14" s="8"/>
      <c r="O14" s="10"/>
      <c r="P14" s="8"/>
      <c r="Q14" s="8"/>
      <c r="R14" s="8"/>
      <c r="S14" s="8"/>
      <c r="T14" s="8"/>
      <c r="U14" s="10"/>
      <c r="V14" s="8"/>
      <c r="W14" s="10"/>
      <c r="X14" s="8"/>
      <c r="Y14" s="8"/>
      <c r="Z14" s="8"/>
      <c r="AA14" s="8"/>
      <c r="AB14" s="10"/>
      <c r="AC14" s="8"/>
      <c r="AD14" s="10"/>
      <c r="AE14" s="8"/>
      <c r="AF14" s="8"/>
      <c r="AG14" s="8"/>
      <c r="AH14" s="8"/>
      <c r="AI14" s="10"/>
      <c r="AJ14" s="8"/>
      <c r="AK14" s="10"/>
      <c r="AL14" s="8"/>
      <c r="AM14" s="8"/>
      <c r="AN14" s="8"/>
      <c r="AO14" s="8"/>
      <c r="AP14" s="10"/>
      <c r="AQ14" s="8"/>
      <c r="AR14" s="10"/>
      <c r="AS14" s="8"/>
      <c r="AT14" s="8"/>
      <c r="AU14" s="8"/>
      <c r="AV14" s="8"/>
      <c r="AW14" s="10"/>
      <c r="AX14" s="8"/>
      <c r="AY14" s="10"/>
      <c r="AZ14" s="8"/>
      <c r="BA14" s="8"/>
      <c r="BB14" s="8"/>
      <c r="BC14" s="8"/>
      <c r="BD14" s="10"/>
      <c r="BE14" s="8"/>
      <c r="BF14" s="10"/>
      <c r="BG14" s="8"/>
      <c r="BH14" s="8"/>
      <c r="BI14" s="8"/>
      <c r="BJ14" s="8"/>
      <c r="BK14" s="10"/>
      <c r="BL14" s="8"/>
      <c r="BM14" s="10"/>
      <c r="BN14" s="8"/>
      <c r="BO14" s="8"/>
      <c r="BP14" s="8"/>
      <c r="BQ14" s="8"/>
      <c r="BR14" s="10"/>
      <c r="BS14" s="8"/>
      <c r="BT14" s="10"/>
      <c r="BU14" s="8"/>
      <c r="BV14" s="8"/>
      <c r="BW14" s="8"/>
      <c r="BX14" s="8"/>
      <c r="BY14" s="10"/>
      <c r="BZ14" s="8"/>
      <c r="CA14" s="10"/>
      <c r="CB14" s="8"/>
      <c r="CC14" s="8"/>
      <c r="CD14" s="8"/>
      <c r="CE14" s="8"/>
      <c r="CF14" s="10"/>
      <c r="CG14" s="8"/>
      <c r="CH14" s="10"/>
      <c r="CI14" s="8"/>
      <c r="CJ14" s="8"/>
      <c r="CK14" s="8"/>
      <c r="CL14" s="8"/>
      <c r="CM14" s="10"/>
      <c r="CN14" s="8"/>
      <c r="CO14" s="10"/>
      <c r="CP14" s="8"/>
      <c r="CQ14" s="8"/>
      <c r="CR14" s="8"/>
      <c r="CS14" s="8"/>
      <c r="CT14" s="10"/>
      <c r="CU14" s="8"/>
      <c r="CV14" s="10"/>
      <c r="CW14" s="8"/>
      <c r="CX14" s="8"/>
      <c r="CY14" s="8"/>
      <c r="CZ14" s="8"/>
      <c r="DA14" s="10"/>
      <c r="DB14" s="8"/>
      <c r="DC14" s="10"/>
      <c r="DD14" s="8"/>
    </row>
    <row r="15" spans="1:108" ht="12.75">
      <c r="A15" s="8"/>
      <c r="B15" s="8"/>
      <c r="C15" s="8"/>
      <c r="D15" s="10"/>
      <c r="E15" s="8"/>
      <c r="F15" s="10"/>
      <c r="G15" s="8"/>
      <c r="H15" s="8"/>
      <c r="I15" s="8"/>
      <c r="J15" s="8"/>
      <c r="K15" s="8"/>
      <c r="L15" s="8"/>
      <c r="M15" s="10"/>
      <c r="N15" s="8"/>
      <c r="O15" s="10"/>
      <c r="P15" s="8"/>
      <c r="Q15" s="8"/>
      <c r="R15" s="8"/>
      <c r="S15" s="8"/>
      <c r="T15" s="8"/>
      <c r="U15" s="10"/>
      <c r="V15" s="8"/>
      <c r="W15" s="10"/>
      <c r="X15" s="8"/>
      <c r="Y15" s="8"/>
      <c r="Z15" s="8"/>
      <c r="AA15" s="8"/>
      <c r="AB15" s="10"/>
      <c r="AC15" s="8"/>
      <c r="AD15" s="10"/>
      <c r="AE15" s="8"/>
      <c r="AF15" s="8"/>
      <c r="AG15" s="8"/>
      <c r="AH15" s="8"/>
      <c r="AI15" s="10"/>
      <c r="AJ15" s="8"/>
      <c r="AK15" s="10"/>
      <c r="AL15" s="8"/>
      <c r="AM15" s="8"/>
      <c r="AN15" s="8"/>
      <c r="AO15" s="8"/>
      <c r="AP15" s="10"/>
      <c r="AQ15" s="8"/>
      <c r="AR15" s="10"/>
      <c r="AS15" s="8"/>
      <c r="AT15" s="8"/>
      <c r="AU15" s="8"/>
      <c r="AV15" s="8"/>
      <c r="AW15" s="10"/>
      <c r="AX15" s="8"/>
      <c r="AY15" s="10"/>
      <c r="AZ15" s="8"/>
      <c r="BA15" s="8"/>
      <c r="BB15" s="8"/>
      <c r="BC15" s="8"/>
      <c r="BD15" s="10"/>
      <c r="BE15" s="8"/>
      <c r="BF15" s="10"/>
      <c r="BG15" s="8"/>
      <c r="BH15" s="8"/>
      <c r="BI15" s="8"/>
      <c r="BJ15" s="8"/>
      <c r="BK15" s="10"/>
      <c r="BL15" s="8"/>
      <c r="BM15" s="10"/>
      <c r="BN15" s="8"/>
      <c r="BO15" s="8"/>
      <c r="BP15" s="8"/>
      <c r="BQ15" s="8"/>
      <c r="BR15" s="10"/>
      <c r="BS15" s="8"/>
      <c r="BT15" s="10"/>
      <c r="BU15" s="8"/>
      <c r="BV15" s="8"/>
      <c r="BW15" s="8"/>
      <c r="BX15" s="8"/>
      <c r="BY15" s="10"/>
      <c r="BZ15" s="8"/>
      <c r="CA15" s="10"/>
      <c r="CB15" s="8"/>
      <c r="CC15" s="8"/>
      <c r="CD15" s="8"/>
      <c r="CE15" s="8"/>
      <c r="CF15" s="10"/>
      <c r="CG15" s="8"/>
      <c r="CH15" s="10"/>
      <c r="CI15" s="8"/>
      <c r="CJ15" s="8"/>
      <c r="CK15" s="8"/>
      <c r="CL15" s="8"/>
      <c r="CM15" s="10"/>
      <c r="CN15" s="8"/>
      <c r="CO15" s="10"/>
      <c r="CP15" s="8"/>
      <c r="CQ15" s="8"/>
      <c r="CR15" s="8"/>
      <c r="CS15" s="8"/>
      <c r="CT15" s="10"/>
      <c r="CU15" s="8"/>
      <c r="CV15" s="10"/>
      <c r="CW15" s="8"/>
      <c r="CX15" s="8"/>
      <c r="CY15" s="8"/>
      <c r="CZ15" s="8"/>
      <c r="DA15" s="10"/>
      <c r="DB15" s="8"/>
      <c r="DC15" s="10"/>
      <c r="DD15" s="8"/>
    </row>
    <row r="16" spans="1:108" ht="12.75">
      <c r="A16" s="19" t="s">
        <v>110</v>
      </c>
      <c r="B16" s="8"/>
      <c r="C16" s="8"/>
      <c r="D16" s="10"/>
      <c r="E16" s="8"/>
      <c r="F16" s="10"/>
      <c r="G16" s="8"/>
      <c r="H16" s="8"/>
      <c r="I16" s="8"/>
      <c r="J16" s="19" t="s">
        <v>110</v>
      </c>
      <c r="K16" s="8"/>
      <c r="L16" s="8"/>
      <c r="M16" s="10"/>
      <c r="N16" s="8"/>
      <c r="O16" s="10"/>
      <c r="P16" s="8"/>
      <c r="Q16" s="8"/>
      <c r="R16" s="19" t="s">
        <v>110</v>
      </c>
      <c r="S16" s="8"/>
      <c r="T16" s="8"/>
      <c r="U16" s="10"/>
      <c r="V16" s="8"/>
      <c r="W16" s="10"/>
      <c r="X16" s="8"/>
      <c r="Y16" s="19" t="s">
        <v>110</v>
      </c>
      <c r="Z16" s="8"/>
      <c r="AA16" s="8"/>
      <c r="AB16" s="10"/>
      <c r="AC16" s="8"/>
      <c r="AD16" s="10"/>
      <c r="AE16" s="8"/>
      <c r="AF16" s="19" t="s">
        <v>110</v>
      </c>
      <c r="AG16" s="8"/>
      <c r="AH16" s="8"/>
      <c r="AI16" s="10"/>
      <c r="AJ16" s="8"/>
      <c r="AK16" s="10"/>
      <c r="AL16" s="8"/>
      <c r="AM16" s="19" t="s">
        <v>110</v>
      </c>
      <c r="AN16" s="8"/>
      <c r="AO16" s="8"/>
      <c r="AP16" s="10"/>
      <c r="AQ16" s="8"/>
      <c r="AR16" s="10"/>
      <c r="AS16" s="8"/>
      <c r="AT16" s="19" t="s">
        <v>110</v>
      </c>
      <c r="AU16" s="8"/>
      <c r="AV16" s="8"/>
      <c r="AW16" s="10"/>
      <c r="AX16" s="8"/>
      <c r="AY16" s="10"/>
      <c r="AZ16" s="8"/>
      <c r="BA16" s="19" t="s">
        <v>110</v>
      </c>
      <c r="BB16" s="8"/>
      <c r="BC16" s="8"/>
      <c r="BD16" s="10"/>
      <c r="BE16" s="8"/>
      <c r="BF16" s="10"/>
      <c r="BG16" s="8"/>
      <c r="BH16" s="19" t="s">
        <v>110</v>
      </c>
      <c r="BI16" s="8"/>
      <c r="BJ16" s="8"/>
      <c r="BK16" s="10"/>
      <c r="BL16" s="8"/>
      <c r="BM16" s="10"/>
      <c r="BN16" s="8"/>
      <c r="BO16" s="19" t="s">
        <v>110</v>
      </c>
      <c r="BP16" s="8"/>
      <c r="BQ16" s="8"/>
      <c r="BR16" s="10"/>
      <c r="BS16" s="8"/>
      <c r="BT16" s="10"/>
      <c r="BU16" s="8"/>
      <c r="BV16" s="19" t="s">
        <v>110</v>
      </c>
      <c r="BW16" s="8"/>
      <c r="BX16" s="8"/>
      <c r="BY16" s="10"/>
      <c r="BZ16" s="8"/>
      <c r="CA16" s="10"/>
      <c r="CB16" s="8"/>
      <c r="CC16" s="19" t="s">
        <v>110</v>
      </c>
      <c r="CD16" s="8"/>
      <c r="CE16" s="8"/>
      <c r="CF16" s="10"/>
      <c r="CG16" s="8"/>
      <c r="CH16" s="10"/>
      <c r="CI16" s="8"/>
      <c r="CJ16" s="19" t="s">
        <v>110</v>
      </c>
      <c r="CK16" s="8"/>
      <c r="CL16" s="8"/>
      <c r="CM16" s="10"/>
      <c r="CN16" s="8"/>
      <c r="CO16" s="10"/>
      <c r="CP16" s="8"/>
      <c r="CQ16" s="19" t="s">
        <v>110</v>
      </c>
      <c r="CR16" s="8"/>
      <c r="CS16" s="8"/>
      <c r="CT16" s="10"/>
      <c r="CU16" s="8"/>
      <c r="CV16" s="10"/>
      <c r="CW16" s="8"/>
      <c r="CX16" s="19" t="s">
        <v>110</v>
      </c>
      <c r="CY16" s="8"/>
      <c r="CZ16" s="8"/>
      <c r="DA16" s="10"/>
      <c r="DB16" s="8"/>
      <c r="DC16" s="10"/>
      <c r="DD16" s="8"/>
    </row>
    <row r="17" spans="1:108" ht="12.75">
      <c r="A17" s="19"/>
      <c r="B17" s="8"/>
      <c r="C17" s="8"/>
      <c r="D17" s="10"/>
      <c r="E17" s="8"/>
      <c r="F17" s="10"/>
      <c r="G17" s="8"/>
      <c r="H17" s="8"/>
      <c r="I17" s="8"/>
      <c r="J17" s="19"/>
      <c r="K17" s="8"/>
      <c r="L17" s="8"/>
      <c r="M17" s="10"/>
      <c r="N17" s="8"/>
      <c r="O17" s="10"/>
      <c r="P17" s="8"/>
      <c r="Q17" s="8"/>
      <c r="R17" s="19"/>
      <c r="S17" s="8"/>
      <c r="T17" s="8"/>
      <c r="U17" s="10"/>
      <c r="V17" s="8"/>
      <c r="W17" s="10"/>
      <c r="X17" s="8"/>
      <c r="Y17" s="19"/>
      <c r="Z17" s="8"/>
      <c r="AA17" s="8"/>
      <c r="AB17" s="10"/>
      <c r="AC17" s="8"/>
      <c r="AD17" s="10"/>
      <c r="AE17" s="8"/>
      <c r="AF17" s="19"/>
      <c r="AG17" s="8"/>
      <c r="AH17" s="8"/>
      <c r="AI17" s="10"/>
      <c r="AJ17" s="8"/>
      <c r="AK17" s="10"/>
      <c r="AL17" s="8"/>
      <c r="AM17" s="19"/>
      <c r="AN17" s="8"/>
      <c r="AO17" s="8"/>
      <c r="AP17" s="10"/>
      <c r="AQ17" s="8"/>
      <c r="AR17" s="10"/>
      <c r="AS17" s="8"/>
      <c r="AT17" s="19"/>
      <c r="AU17" s="8"/>
      <c r="AV17" s="8"/>
      <c r="AW17" s="10"/>
      <c r="AX17" s="8"/>
      <c r="AY17" s="10"/>
      <c r="AZ17" s="8"/>
      <c r="BA17" s="19"/>
      <c r="BB17" s="8"/>
      <c r="BC17" s="8"/>
      <c r="BD17" s="10"/>
      <c r="BE17" s="8"/>
      <c r="BF17" s="10"/>
      <c r="BG17" s="8"/>
      <c r="BH17" s="19"/>
      <c r="BI17" s="8"/>
      <c r="BJ17" s="8"/>
      <c r="BK17" s="10"/>
      <c r="BL17" s="8"/>
      <c r="BM17" s="10"/>
      <c r="BN17" s="8"/>
      <c r="BO17" s="19"/>
      <c r="BP17" s="8"/>
      <c r="BQ17" s="8"/>
      <c r="BR17" s="10"/>
      <c r="BS17" s="8"/>
      <c r="BT17" s="10"/>
      <c r="BU17" s="8"/>
      <c r="BV17" s="19"/>
      <c r="BW17" s="8"/>
      <c r="BX17" s="8"/>
      <c r="BY17" s="10"/>
      <c r="BZ17" s="8"/>
      <c r="CA17" s="10"/>
      <c r="CB17" s="8"/>
      <c r="CC17" s="19"/>
      <c r="CD17" s="8"/>
      <c r="CE17" s="8"/>
      <c r="CF17" s="10"/>
      <c r="CG17" s="8"/>
      <c r="CH17" s="10"/>
      <c r="CI17" s="8"/>
      <c r="CJ17" s="19"/>
      <c r="CK17" s="8"/>
      <c r="CL17" s="8"/>
      <c r="CM17" s="10"/>
      <c r="CN17" s="8"/>
      <c r="CO17" s="10"/>
      <c r="CP17" s="8"/>
      <c r="CQ17" s="19"/>
      <c r="CR17" s="8"/>
      <c r="CS17" s="8"/>
      <c r="CT17" s="10"/>
      <c r="CU17" s="8"/>
      <c r="CV17" s="10"/>
      <c r="CW17" s="8"/>
      <c r="CX17" s="19"/>
      <c r="CY17" s="8"/>
      <c r="CZ17" s="8"/>
      <c r="DA17" s="10"/>
      <c r="DB17" s="8"/>
      <c r="DC17" s="10"/>
      <c r="DD17" s="8"/>
    </row>
    <row r="18" spans="1:108" s="29" customFormat="1" ht="12.75">
      <c r="A18" s="25"/>
      <c r="B18" s="26"/>
      <c r="C18" s="26"/>
      <c r="D18" s="27" t="s">
        <v>99</v>
      </c>
      <c r="E18" s="26" t="s">
        <v>100</v>
      </c>
      <c r="F18" s="28" t="s">
        <v>101</v>
      </c>
      <c r="G18" s="26" t="s">
        <v>100</v>
      </c>
      <c r="H18" s="25"/>
      <c r="I18" s="25"/>
      <c r="J18" s="27" t="s">
        <v>99</v>
      </c>
      <c r="K18" s="26" t="s">
        <v>100</v>
      </c>
      <c r="L18" s="28" t="s">
        <v>101</v>
      </c>
      <c r="M18" s="26" t="s">
        <v>100</v>
      </c>
      <c r="N18" s="64"/>
      <c r="O18" s="65"/>
      <c r="P18" s="64"/>
      <c r="Q18" s="8"/>
      <c r="R18" s="27" t="s">
        <v>99</v>
      </c>
      <c r="S18" s="26" t="s">
        <v>100</v>
      </c>
      <c r="T18" s="28" t="s">
        <v>101</v>
      </c>
      <c r="U18" s="44" t="s">
        <v>100</v>
      </c>
      <c r="V18" s="64"/>
      <c r="W18" s="65"/>
      <c r="X18" s="64"/>
      <c r="Y18" s="27" t="s">
        <v>99</v>
      </c>
      <c r="Z18" s="26" t="s">
        <v>100</v>
      </c>
      <c r="AA18" s="28" t="s">
        <v>101</v>
      </c>
      <c r="AB18" s="44" t="s">
        <v>100</v>
      </c>
      <c r="AC18" s="64"/>
      <c r="AD18" s="65"/>
      <c r="AE18" s="64"/>
      <c r="AF18" s="27" t="s">
        <v>99</v>
      </c>
      <c r="AG18" s="26" t="s">
        <v>100</v>
      </c>
      <c r="AH18" s="28" t="s">
        <v>101</v>
      </c>
      <c r="AI18" s="44" t="s">
        <v>100</v>
      </c>
      <c r="AJ18" s="64"/>
      <c r="AK18" s="65"/>
      <c r="AL18" s="64"/>
      <c r="AM18" s="27" t="s">
        <v>99</v>
      </c>
      <c r="AN18" s="26" t="s">
        <v>100</v>
      </c>
      <c r="AO18" s="28" t="s">
        <v>101</v>
      </c>
      <c r="AP18" s="44" t="s">
        <v>100</v>
      </c>
      <c r="AQ18" s="64"/>
      <c r="AR18" s="65"/>
      <c r="AS18" s="64"/>
      <c r="AT18" s="27" t="s">
        <v>99</v>
      </c>
      <c r="AU18" s="26" t="s">
        <v>100</v>
      </c>
      <c r="AV18" s="28" t="s">
        <v>101</v>
      </c>
      <c r="AW18" s="44" t="s">
        <v>100</v>
      </c>
      <c r="AX18" s="64"/>
      <c r="AY18" s="65"/>
      <c r="AZ18" s="64"/>
      <c r="BA18" s="89" t="s">
        <v>99</v>
      </c>
      <c r="BB18" s="44" t="s">
        <v>100</v>
      </c>
      <c r="BC18" s="88" t="s">
        <v>101</v>
      </c>
      <c r="BD18" s="44" t="s">
        <v>100</v>
      </c>
      <c r="BE18" s="64"/>
      <c r="BF18" s="65"/>
      <c r="BG18" s="64"/>
      <c r="BH18" s="89" t="s">
        <v>99</v>
      </c>
      <c r="BI18" s="44" t="s">
        <v>100</v>
      </c>
      <c r="BJ18" s="88" t="s">
        <v>101</v>
      </c>
      <c r="BK18" s="44" t="s">
        <v>100</v>
      </c>
      <c r="BL18" s="64"/>
      <c r="BM18" s="65"/>
      <c r="BN18" s="64"/>
      <c r="BO18" s="89" t="s">
        <v>99</v>
      </c>
      <c r="BP18" s="44" t="s">
        <v>100</v>
      </c>
      <c r="BQ18" s="88" t="s">
        <v>101</v>
      </c>
      <c r="BR18" s="44" t="s">
        <v>100</v>
      </c>
      <c r="BS18" s="64"/>
      <c r="BT18" s="65"/>
      <c r="BU18" s="64"/>
      <c r="BV18" s="89" t="s">
        <v>99</v>
      </c>
      <c r="BW18" s="44" t="s">
        <v>100</v>
      </c>
      <c r="BX18" s="88" t="s">
        <v>101</v>
      </c>
      <c r="BY18" s="44" t="s">
        <v>100</v>
      </c>
      <c r="BZ18" s="64"/>
      <c r="CA18" s="65"/>
      <c r="CB18" s="64"/>
      <c r="CC18" s="89" t="s">
        <v>99</v>
      </c>
      <c r="CD18" s="44" t="s">
        <v>100</v>
      </c>
      <c r="CE18" s="88" t="s">
        <v>101</v>
      </c>
      <c r="CF18" s="44" t="s">
        <v>100</v>
      </c>
      <c r="CG18" s="64"/>
      <c r="CH18" s="65"/>
      <c r="CI18" s="64"/>
      <c r="CJ18" s="89" t="s">
        <v>99</v>
      </c>
      <c r="CK18" s="44" t="s">
        <v>100</v>
      </c>
      <c r="CL18" s="88" t="s">
        <v>101</v>
      </c>
      <c r="CM18" s="44" t="s">
        <v>100</v>
      </c>
      <c r="CN18" s="64"/>
      <c r="CO18" s="65"/>
      <c r="CP18" s="64"/>
      <c r="CQ18" s="89" t="s">
        <v>99</v>
      </c>
      <c r="CR18" s="44" t="s">
        <v>100</v>
      </c>
      <c r="CS18" s="88" t="s">
        <v>101</v>
      </c>
      <c r="CT18" s="44" t="s">
        <v>100</v>
      </c>
      <c r="CU18" s="64"/>
      <c r="CV18" s="65"/>
      <c r="CW18" s="64"/>
      <c r="CX18" s="89" t="s">
        <v>99</v>
      </c>
      <c r="CY18" s="44" t="s">
        <v>100</v>
      </c>
      <c r="CZ18" s="88" t="s">
        <v>101</v>
      </c>
      <c r="DA18" s="44" t="s">
        <v>100</v>
      </c>
      <c r="DB18" s="64"/>
      <c r="DC18" s="65"/>
      <c r="DD18" s="64"/>
    </row>
    <row r="19" spans="1:108" ht="12.75">
      <c r="A19" s="12"/>
      <c r="B19" s="8"/>
      <c r="C19" s="8"/>
      <c r="D19" s="10"/>
      <c r="E19" s="8"/>
      <c r="F19" s="10"/>
      <c r="G19" s="37"/>
      <c r="H19" s="8"/>
      <c r="I19" s="8"/>
      <c r="J19" s="10"/>
      <c r="K19" s="8"/>
      <c r="L19" s="10"/>
      <c r="M19" s="37"/>
      <c r="N19" s="54"/>
      <c r="O19" s="55"/>
      <c r="P19" s="71"/>
      <c r="Q19" s="8"/>
      <c r="R19" s="10"/>
      <c r="S19" s="8"/>
      <c r="T19" s="10"/>
      <c r="U19" s="37"/>
      <c r="V19" s="54"/>
      <c r="W19" s="55"/>
      <c r="X19" s="71"/>
      <c r="Y19" s="10"/>
      <c r="Z19" s="8"/>
      <c r="AA19" s="10"/>
      <c r="AB19" s="37"/>
      <c r="AC19" s="54"/>
      <c r="AD19" s="55"/>
      <c r="AE19" s="71"/>
      <c r="AF19" s="10"/>
      <c r="AG19" s="8"/>
      <c r="AH19" s="10"/>
      <c r="AI19" s="37"/>
      <c r="AJ19" s="54"/>
      <c r="AK19" s="55"/>
      <c r="AL19" s="71"/>
      <c r="AM19" s="10"/>
      <c r="AN19" s="8"/>
      <c r="AO19" s="10"/>
      <c r="AP19" s="37"/>
      <c r="AQ19" s="54"/>
      <c r="AR19" s="55"/>
      <c r="AS19" s="71"/>
      <c r="AT19" s="10"/>
      <c r="AU19" s="8"/>
      <c r="AV19" s="10"/>
      <c r="AW19" s="37"/>
      <c r="AX19" s="54"/>
      <c r="AY19" s="55"/>
      <c r="AZ19" s="71"/>
      <c r="BA19" s="10"/>
      <c r="BB19" s="8"/>
      <c r="BC19" s="10"/>
      <c r="BD19" s="37"/>
      <c r="BE19" s="54"/>
      <c r="BF19" s="55"/>
      <c r="BG19" s="71"/>
      <c r="BH19" s="10"/>
      <c r="BI19" s="8"/>
      <c r="BJ19" s="10"/>
      <c r="BK19" s="37"/>
      <c r="BL19" s="54"/>
      <c r="BM19" s="55"/>
      <c r="BN19" s="71"/>
      <c r="BO19" s="10"/>
      <c r="BP19" s="8"/>
      <c r="BQ19" s="10"/>
      <c r="BR19" s="37"/>
      <c r="BS19" s="54"/>
      <c r="BT19" s="55"/>
      <c r="BU19" s="71"/>
      <c r="BV19" s="10"/>
      <c r="BW19" s="8"/>
      <c r="BX19" s="10"/>
      <c r="BY19" s="37"/>
      <c r="BZ19" s="54"/>
      <c r="CA19" s="55"/>
      <c r="CB19" s="71"/>
      <c r="CC19" s="10"/>
      <c r="CD19" s="8"/>
      <c r="CE19" s="10"/>
      <c r="CF19" s="37"/>
      <c r="CG19" s="54"/>
      <c r="CH19" s="55"/>
      <c r="CI19" s="71"/>
      <c r="CJ19" s="10"/>
      <c r="CK19" s="8"/>
      <c r="CL19" s="10"/>
      <c r="CM19" s="37"/>
      <c r="CN19" s="54"/>
      <c r="CO19" s="55"/>
      <c r="CP19" s="71"/>
      <c r="CQ19" s="10"/>
      <c r="CR19" s="8"/>
      <c r="CS19" s="10"/>
      <c r="CT19" s="37"/>
      <c r="CU19" s="54"/>
      <c r="CV19" s="55"/>
      <c r="CW19" s="71"/>
      <c r="CX19" s="10"/>
      <c r="CY19" s="8"/>
      <c r="CZ19" s="10"/>
      <c r="DA19" s="37"/>
      <c r="DB19" s="54"/>
      <c r="DC19" s="55"/>
      <c r="DD19" s="71"/>
    </row>
    <row r="20" spans="1:108" ht="12.75">
      <c r="A20" s="8" t="s">
        <v>26</v>
      </c>
      <c r="B20" s="8"/>
      <c r="C20" s="8"/>
      <c r="D20" s="9">
        <v>6311275.349999996</v>
      </c>
      <c r="E20" s="14">
        <f>+D20/D31</f>
        <v>0.06904419640792422</v>
      </c>
      <c r="F20" s="10">
        <v>4906</v>
      </c>
      <c r="G20" s="14">
        <f>+F20/F31</f>
        <v>0.25837370971139667</v>
      </c>
      <c r="H20" s="8"/>
      <c r="I20" s="8"/>
      <c r="J20" s="9">
        <v>7703195.480000011</v>
      </c>
      <c r="K20" s="14">
        <f>+J20/J31</f>
        <v>0.09257054245246216</v>
      </c>
      <c r="L20" s="10">
        <v>4000</v>
      </c>
      <c r="M20" s="14">
        <f>+L20/L31</f>
        <v>0.2634178465591044</v>
      </c>
      <c r="N20" s="56"/>
      <c r="O20" s="55"/>
      <c r="P20" s="56"/>
      <c r="Q20" s="8"/>
      <c r="R20" s="9">
        <v>9030620.339999998</v>
      </c>
      <c r="S20" s="14">
        <v>0.1149744830512127</v>
      </c>
      <c r="T20" s="10">
        <v>4186</v>
      </c>
      <c r="U20" s="14">
        <v>0.2913621493700842</v>
      </c>
      <c r="V20" s="56"/>
      <c r="W20" s="55"/>
      <c r="X20" s="56"/>
      <c r="Y20" s="9">
        <v>9796501.489999989</v>
      </c>
      <c r="Z20" s="14">
        <v>0.12108850055590922</v>
      </c>
      <c r="AA20" s="10">
        <v>4402</v>
      </c>
      <c r="AB20" s="14">
        <v>0.30295939435650376</v>
      </c>
      <c r="AC20" s="56"/>
      <c r="AD20" s="55"/>
      <c r="AE20" s="56"/>
      <c r="AF20" s="9">
        <v>10212139.499999976</v>
      </c>
      <c r="AG20" s="14">
        <v>0.12719942612049934</v>
      </c>
      <c r="AH20" s="10">
        <v>4493</v>
      </c>
      <c r="AI20" s="14">
        <v>0.3162302927927928</v>
      </c>
      <c r="AJ20" s="56"/>
      <c r="AK20" s="55"/>
      <c r="AL20" s="56"/>
      <c r="AM20" s="9">
        <v>10626953.69000002</v>
      </c>
      <c r="AN20" s="14">
        <v>0.1301833312111004</v>
      </c>
      <c r="AO20" s="10">
        <v>4514</v>
      </c>
      <c r="AP20" s="14">
        <v>0.3188528643074098</v>
      </c>
      <c r="AQ20" s="56"/>
      <c r="AR20" s="55"/>
      <c r="AS20" s="56"/>
      <c r="AT20" s="9">
        <v>11240575.77000001</v>
      </c>
      <c r="AU20" s="14">
        <v>0.1398692205310871</v>
      </c>
      <c r="AV20" s="10">
        <v>4502</v>
      </c>
      <c r="AW20" s="14">
        <v>0.3266105629715612</v>
      </c>
      <c r="AX20" s="56"/>
      <c r="AY20" s="55"/>
      <c r="AZ20" s="56"/>
      <c r="BA20" s="9">
        <v>11249992.760000022</v>
      </c>
      <c r="BB20" s="14">
        <v>0.13486688024051735</v>
      </c>
      <c r="BC20" s="10">
        <v>4506</v>
      </c>
      <c r="BD20" s="14">
        <v>0.3218341547032355</v>
      </c>
      <c r="BE20" s="56"/>
      <c r="BF20" s="55"/>
      <c r="BG20" s="56"/>
      <c r="BH20" s="9">
        <v>11428473.529999988</v>
      </c>
      <c r="BI20" s="14">
        <v>0.14985762393911578</v>
      </c>
      <c r="BJ20" s="10">
        <v>3759</v>
      </c>
      <c r="BK20" s="14">
        <v>0.3063819382182737</v>
      </c>
      <c r="BL20" s="56"/>
      <c r="BM20" s="55"/>
      <c r="BN20" s="56"/>
      <c r="BO20" s="9">
        <v>12325190.619999984</v>
      </c>
      <c r="BP20" s="14">
        <v>0.17605556648386206</v>
      </c>
      <c r="BQ20" s="10">
        <v>3822</v>
      </c>
      <c r="BR20" s="14">
        <v>0.33694789738164505</v>
      </c>
      <c r="BS20" s="56"/>
      <c r="BT20" s="55"/>
      <c r="BU20" s="56"/>
      <c r="BV20" s="9">
        <v>12641592.399999987</v>
      </c>
      <c r="BW20" s="14">
        <v>0.1971126600368464</v>
      </c>
      <c r="BX20" s="10">
        <v>3749</v>
      </c>
      <c r="BY20" s="14">
        <v>0.35680974588369657</v>
      </c>
      <c r="BZ20" s="56"/>
      <c r="CA20" s="55"/>
      <c r="CB20" s="56"/>
      <c r="CC20" s="9">
        <v>12687713.489999982</v>
      </c>
      <c r="CD20" s="14">
        <v>0.21452531184476215</v>
      </c>
      <c r="CE20" s="10">
        <v>3675</v>
      </c>
      <c r="CF20" s="14">
        <v>0.37374148276212754</v>
      </c>
      <c r="CG20" s="56"/>
      <c r="CH20" s="55"/>
      <c r="CI20" s="56"/>
      <c r="CJ20" s="9">
        <v>13054343.309999995</v>
      </c>
      <c r="CK20" s="14">
        <v>0.24000339235340276</v>
      </c>
      <c r="CL20" s="10">
        <v>3615</v>
      </c>
      <c r="CM20" s="14">
        <v>0.3964250466059875</v>
      </c>
      <c r="CN20" s="56"/>
      <c r="CO20" s="55"/>
      <c r="CP20" s="56"/>
      <c r="CQ20" s="9">
        <v>13832123.199999996</v>
      </c>
      <c r="CR20" s="14">
        <v>0.27676266302089536</v>
      </c>
      <c r="CS20" s="10">
        <v>3552</v>
      </c>
      <c r="CT20" s="14">
        <v>0.42457566339947406</v>
      </c>
      <c r="CU20" s="56"/>
      <c r="CV20" s="55"/>
      <c r="CW20" s="56"/>
      <c r="CX20" s="9">
        <v>15293434.829999972</v>
      </c>
      <c r="CY20" s="14">
        <v>0.3299774489168682</v>
      </c>
      <c r="CZ20" s="10">
        <v>3669</v>
      </c>
      <c r="DA20" s="14">
        <v>0.46960194547548956</v>
      </c>
      <c r="DB20" s="56"/>
      <c r="DC20" s="55"/>
      <c r="DD20" s="56"/>
    </row>
    <row r="21" spans="1:108" ht="12.75">
      <c r="A21" s="8" t="s">
        <v>27</v>
      </c>
      <c r="B21" s="8"/>
      <c r="C21" s="8"/>
      <c r="D21" s="9">
        <v>13820319.890000021</v>
      </c>
      <c r="E21" s="14">
        <f>+D21/$D$31</f>
        <v>0.1511917683809349</v>
      </c>
      <c r="F21" s="10">
        <v>4301</v>
      </c>
      <c r="G21" s="14">
        <f>+F21/$F$31</f>
        <v>0.22651148093532758</v>
      </c>
      <c r="H21" s="8"/>
      <c r="I21" s="8"/>
      <c r="J21" s="9">
        <v>12116903.220000014</v>
      </c>
      <c r="K21" s="14">
        <f>+J21/$J$31</f>
        <v>0.14561078020564333</v>
      </c>
      <c r="L21" s="10">
        <v>3334</v>
      </c>
      <c r="M21" s="14">
        <f>+L21/$L$31</f>
        <v>0.2195587751070135</v>
      </c>
      <c r="N21" s="56"/>
      <c r="O21" s="55"/>
      <c r="P21" s="56"/>
      <c r="Q21" s="8"/>
      <c r="R21" s="9">
        <v>10892622.940000003</v>
      </c>
      <c r="S21" s="14">
        <v>0.13868080424675247</v>
      </c>
      <c r="T21" s="10">
        <v>2955</v>
      </c>
      <c r="U21" s="14">
        <v>0.20567968260597203</v>
      </c>
      <c r="V21" s="56"/>
      <c r="W21" s="55"/>
      <c r="X21" s="56"/>
      <c r="Y21" s="9">
        <v>9139190.849999998</v>
      </c>
      <c r="Z21" s="14">
        <v>0.11296388996116882</v>
      </c>
      <c r="AA21" s="10">
        <v>2487</v>
      </c>
      <c r="AB21" s="14">
        <v>0.17116311080523056</v>
      </c>
      <c r="AC21" s="56"/>
      <c r="AD21" s="55"/>
      <c r="AE21" s="56"/>
      <c r="AF21" s="9">
        <v>8498102.909999985</v>
      </c>
      <c r="AG21" s="14">
        <v>0.10584988711375772</v>
      </c>
      <c r="AH21" s="10">
        <v>2206</v>
      </c>
      <c r="AI21" s="14">
        <v>0.15526463963963963</v>
      </c>
      <c r="AJ21" s="56"/>
      <c r="AK21" s="55"/>
      <c r="AL21" s="56"/>
      <c r="AM21" s="9">
        <v>8493411.409999983</v>
      </c>
      <c r="AN21" s="14">
        <v>0.10404680616427577</v>
      </c>
      <c r="AO21" s="10">
        <v>2099</v>
      </c>
      <c r="AP21" s="14">
        <v>0.14826587553860282</v>
      </c>
      <c r="AQ21" s="56"/>
      <c r="AR21" s="55"/>
      <c r="AS21" s="56"/>
      <c r="AT21" s="9">
        <v>7724516.550000005</v>
      </c>
      <c r="AU21" s="14">
        <v>0.09611803976372127</v>
      </c>
      <c r="AV21" s="10">
        <v>1889</v>
      </c>
      <c r="AW21" s="14">
        <v>0.1370429483459083</v>
      </c>
      <c r="AX21" s="56"/>
      <c r="AY21" s="55"/>
      <c r="AZ21" s="56"/>
      <c r="BA21" s="9">
        <v>7716355.7099999795</v>
      </c>
      <c r="BB21" s="14">
        <v>0.0925050214373469</v>
      </c>
      <c r="BC21" s="10">
        <v>1911</v>
      </c>
      <c r="BD21" s="14">
        <v>0.13649025069637882</v>
      </c>
      <c r="BE21" s="56"/>
      <c r="BF21" s="55"/>
      <c r="BG21" s="56"/>
      <c r="BH21" s="9">
        <v>7152147.600000007</v>
      </c>
      <c r="BI21" s="14">
        <v>0.0937836398346938</v>
      </c>
      <c r="BJ21" s="10">
        <v>1698</v>
      </c>
      <c r="BK21" s="14">
        <v>0.13839758741543728</v>
      </c>
      <c r="BL21" s="56"/>
      <c r="BM21" s="55"/>
      <c r="BN21" s="56"/>
      <c r="BO21" s="9">
        <v>6832764.650000012</v>
      </c>
      <c r="BP21" s="14">
        <v>0.09760062040376467</v>
      </c>
      <c r="BQ21" s="10">
        <v>1496</v>
      </c>
      <c r="BR21" s="14">
        <v>0.13188750771400864</v>
      </c>
      <c r="BS21" s="56"/>
      <c r="BT21" s="55"/>
      <c r="BU21" s="56"/>
      <c r="BV21" s="9">
        <v>7787060.840000001</v>
      </c>
      <c r="BW21" s="14">
        <v>0.12141890257758677</v>
      </c>
      <c r="BX21" s="10">
        <v>1525</v>
      </c>
      <c r="BY21" s="14">
        <v>0.14514133434852955</v>
      </c>
      <c r="BZ21" s="56"/>
      <c r="CA21" s="55"/>
      <c r="CB21" s="56"/>
      <c r="CC21" s="9">
        <v>7048882.8000000045</v>
      </c>
      <c r="CD21" s="14">
        <v>0.11918331715316684</v>
      </c>
      <c r="CE21" s="10">
        <v>1358</v>
      </c>
      <c r="CF21" s="14">
        <v>0.13810637648733856</v>
      </c>
      <c r="CG21" s="56"/>
      <c r="CH21" s="55"/>
      <c r="CI21" s="56"/>
      <c r="CJ21" s="9">
        <v>6839486.010000004</v>
      </c>
      <c r="CK21" s="14">
        <v>0.1257435786215462</v>
      </c>
      <c r="CL21" s="10">
        <v>1254</v>
      </c>
      <c r="CM21" s="14">
        <v>0.13751507840772015</v>
      </c>
      <c r="CN21" s="56"/>
      <c r="CO21" s="55"/>
      <c r="CP21" s="56"/>
      <c r="CQ21" s="9">
        <v>7646719.56</v>
      </c>
      <c r="CR21" s="14">
        <v>0.15300084001562173</v>
      </c>
      <c r="CS21" s="10">
        <v>1252</v>
      </c>
      <c r="CT21" s="14">
        <v>0.1496533588333732</v>
      </c>
      <c r="CU21" s="56"/>
      <c r="CV21" s="55"/>
      <c r="CW21" s="56"/>
      <c r="CX21" s="9">
        <v>6866098.8599999845</v>
      </c>
      <c r="CY21" s="14">
        <v>0.14814577699637774</v>
      </c>
      <c r="CZ21" s="10">
        <v>1096</v>
      </c>
      <c r="DA21" s="14">
        <v>0.14027902214258287</v>
      </c>
      <c r="DB21" s="56"/>
      <c r="DC21" s="55"/>
      <c r="DD21" s="56"/>
    </row>
    <row r="22" spans="1:108" ht="12.75">
      <c r="A22" s="8" t="s">
        <v>28</v>
      </c>
      <c r="B22" s="8"/>
      <c r="C22" s="8"/>
      <c r="D22" s="9">
        <v>14367501.510000048</v>
      </c>
      <c r="E22" s="14">
        <f aca="true" t="shared" si="0" ref="E22:E29">+D22/$D$31</f>
        <v>0.1571778350864682</v>
      </c>
      <c r="F22" s="10">
        <v>3014</v>
      </c>
      <c r="G22" s="14">
        <f aca="true" t="shared" si="1" ref="G22:G29">+F22/$F$31</f>
        <v>0.1587318306298715</v>
      </c>
      <c r="H22" s="8"/>
      <c r="I22" s="8"/>
      <c r="J22" s="9">
        <v>14121831.030000009</v>
      </c>
      <c r="K22" s="14">
        <f aca="true" t="shared" si="2" ref="K22:K29">+J22/$J$31</f>
        <v>0.169704321052633</v>
      </c>
      <c r="L22" s="10">
        <v>2544</v>
      </c>
      <c r="M22" s="14">
        <f aca="true" t="shared" si="3" ref="M22:M29">+L22/$L$31</f>
        <v>0.16753375041159038</v>
      </c>
      <c r="N22" s="56"/>
      <c r="O22" s="55"/>
      <c r="P22" s="56"/>
      <c r="Q22" s="8"/>
      <c r="R22" s="9">
        <v>12750228.15</v>
      </c>
      <c r="S22" s="14">
        <v>0.16233113951629932</v>
      </c>
      <c r="T22" s="10">
        <v>2256</v>
      </c>
      <c r="U22" s="14">
        <v>0.15702651910628523</v>
      </c>
      <c r="V22" s="56"/>
      <c r="W22" s="55"/>
      <c r="X22" s="56"/>
      <c r="Y22" s="9">
        <v>12136485.830000002</v>
      </c>
      <c r="Z22" s="14">
        <v>0.15001160084269444</v>
      </c>
      <c r="AA22" s="10">
        <v>2170</v>
      </c>
      <c r="AB22" s="14">
        <v>0.14934618031658636</v>
      </c>
      <c r="AC22" s="56"/>
      <c r="AD22" s="55"/>
      <c r="AE22" s="56"/>
      <c r="AF22" s="9">
        <v>10865626.980000012</v>
      </c>
      <c r="AG22" s="14">
        <v>0.13533907525405614</v>
      </c>
      <c r="AH22" s="10">
        <v>1921</v>
      </c>
      <c r="AI22" s="14">
        <v>0.13520551801801803</v>
      </c>
      <c r="AJ22" s="56"/>
      <c r="AK22" s="55"/>
      <c r="AL22" s="56"/>
      <c r="AM22" s="9">
        <v>10245974.579999985</v>
      </c>
      <c r="AN22" s="14">
        <v>0.1255162242387311</v>
      </c>
      <c r="AO22" s="10">
        <v>1753</v>
      </c>
      <c r="AP22" s="14">
        <v>0.12382566928021474</v>
      </c>
      <c r="AQ22" s="56"/>
      <c r="AR22" s="55"/>
      <c r="AS22" s="56"/>
      <c r="AT22" s="9">
        <v>11172567.460000012</v>
      </c>
      <c r="AU22" s="14">
        <v>0.13902297657490795</v>
      </c>
      <c r="AV22" s="10">
        <v>1768</v>
      </c>
      <c r="AW22" s="14">
        <v>0.1282646546720836</v>
      </c>
      <c r="AX22" s="56"/>
      <c r="AY22" s="55"/>
      <c r="AZ22" s="56"/>
      <c r="BA22" s="9">
        <v>10364257.510000002</v>
      </c>
      <c r="BB22" s="14">
        <v>0.12424853119488141</v>
      </c>
      <c r="BC22" s="10">
        <v>1640</v>
      </c>
      <c r="BD22" s="14">
        <v>0.11713449039354332</v>
      </c>
      <c r="BE22" s="56"/>
      <c r="BF22" s="55"/>
      <c r="BG22" s="56"/>
      <c r="BH22" s="9">
        <v>9788738.03</v>
      </c>
      <c r="BI22" s="14">
        <v>0.1283563389885423</v>
      </c>
      <c r="BJ22" s="10">
        <v>1500</v>
      </c>
      <c r="BK22" s="14">
        <v>0.1222593528404923</v>
      </c>
      <c r="BL22" s="56"/>
      <c r="BM22" s="55"/>
      <c r="BN22" s="56"/>
      <c r="BO22" s="9">
        <v>10556900.630000012</v>
      </c>
      <c r="BP22" s="14">
        <v>0.15079694732773996</v>
      </c>
      <c r="BQ22" s="10">
        <v>1501</v>
      </c>
      <c r="BR22" s="14">
        <v>0.1323283082077052</v>
      </c>
      <c r="BS22" s="56"/>
      <c r="BT22" s="55"/>
      <c r="BU22" s="56"/>
      <c r="BV22" s="9">
        <v>9711531.110000007</v>
      </c>
      <c r="BW22" s="14">
        <v>0.15142599678523813</v>
      </c>
      <c r="BX22" s="10">
        <v>1355</v>
      </c>
      <c r="BY22" s="14">
        <v>0.1289616446178738</v>
      </c>
      <c r="BZ22" s="56"/>
      <c r="CA22" s="55"/>
      <c r="CB22" s="56"/>
      <c r="CC22" s="9">
        <v>9815444.810000012</v>
      </c>
      <c r="CD22" s="14">
        <v>0.16596066426152467</v>
      </c>
      <c r="CE22" s="10">
        <v>1387</v>
      </c>
      <c r="CF22" s="14">
        <v>0.14105562900437302</v>
      </c>
      <c r="CG22" s="56"/>
      <c r="CH22" s="55"/>
      <c r="CI22" s="56"/>
      <c r="CJ22" s="9">
        <v>9469247.160000002</v>
      </c>
      <c r="CK22" s="14">
        <v>0.1740915944574485</v>
      </c>
      <c r="CL22" s="10">
        <v>1333</v>
      </c>
      <c r="CM22" s="14">
        <v>0.1461783090251124</v>
      </c>
      <c r="CN22" s="56"/>
      <c r="CO22" s="55"/>
      <c r="CP22" s="56"/>
      <c r="CQ22" s="9">
        <v>6768224.810000009</v>
      </c>
      <c r="CR22" s="14">
        <v>0.135423311031505</v>
      </c>
      <c r="CS22" s="10">
        <v>1017</v>
      </c>
      <c r="CT22" s="14">
        <v>0.12156347119292374</v>
      </c>
      <c r="CU22" s="56"/>
      <c r="CV22" s="55"/>
      <c r="CW22" s="56"/>
      <c r="CX22" s="9">
        <v>5276006.120000006</v>
      </c>
      <c r="CY22" s="14">
        <v>0.11383728111439495</v>
      </c>
      <c r="CZ22" s="10">
        <v>820</v>
      </c>
      <c r="DA22" s="14">
        <v>0.10495328298988865</v>
      </c>
      <c r="DB22" s="56"/>
      <c r="DC22" s="55"/>
      <c r="DD22" s="56"/>
    </row>
    <row r="23" spans="1:108" ht="12.75">
      <c r="A23" s="8" t="s">
        <v>29</v>
      </c>
      <c r="B23" s="8"/>
      <c r="C23" s="8"/>
      <c r="D23" s="9">
        <v>15816150.580000022</v>
      </c>
      <c r="E23" s="14">
        <f t="shared" si="0"/>
        <v>0.17302579058966694</v>
      </c>
      <c r="F23" s="10">
        <v>2410</v>
      </c>
      <c r="G23" s="14">
        <f t="shared" si="1"/>
        <v>0.1269222666947546</v>
      </c>
      <c r="H23" s="8"/>
      <c r="I23" s="8"/>
      <c r="J23" s="9">
        <v>14693887.630000046</v>
      </c>
      <c r="K23" s="14">
        <f t="shared" si="2"/>
        <v>0.17657881747596854</v>
      </c>
      <c r="L23" s="10">
        <v>1964</v>
      </c>
      <c r="M23" s="14">
        <f t="shared" si="3"/>
        <v>0.12933816266052026</v>
      </c>
      <c r="N23" s="56"/>
      <c r="O23" s="55"/>
      <c r="P23" s="56"/>
      <c r="Q23" s="8"/>
      <c r="R23" s="9">
        <v>15721756.699999997</v>
      </c>
      <c r="S23" s="14">
        <v>0.2001635304313369</v>
      </c>
      <c r="T23" s="10">
        <v>2003</v>
      </c>
      <c r="U23" s="14">
        <v>0.1394167188696318</v>
      </c>
      <c r="V23" s="56"/>
      <c r="W23" s="55"/>
      <c r="X23" s="56"/>
      <c r="Y23" s="9">
        <v>14125234.799999986</v>
      </c>
      <c r="Z23" s="14">
        <v>0.17459329778881588</v>
      </c>
      <c r="AA23" s="10">
        <v>1812</v>
      </c>
      <c r="AB23" s="14">
        <v>0.12470750172057811</v>
      </c>
      <c r="AC23" s="56"/>
      <c r="AD23" s="55"/>
      <c r="AE23" s="56"/>
      <c r="AF23" s="9">
        <v>13403361.899999985</v>
      </c>
      <c r="AG23" s="14">
        <v>0.16694836001460497</v>
      </c>
      <c r="AH23" s="10">
        <v>1693</v>
      </c>
      <c r="AI23" s="14">
        <v>0.11915822072072071</v>
      </c>
      <c r="AJ23" s="56"/>
      <c r="AK23" s="55"/>
      <c r="AL23" s="56"/>
      <c r="AM23" s="9">
        <v>14358662.41000001</v>
      </c>
      <c r="AN23" s="14">
        <v>0.1758978686458739</v>
      </c>
      <c r="AO23" s="10">
        <v>1739</v>
      </c>
      <c r="AP23" s="14">
        <v>0.12283675920039556</v>
      </c>
      <c r="AQ23" s="56"/>
      <c r="AR23" s="55"/>
      <c r="AS23" s="56"/>
      <c r="AT23" s="9">
        <v>13188922.25999999</v>
      </c>
      <c r="AU23" s="14">
        <v>0.16411297018029003</v>
      </c>
      <c r="AV23" s="10">
        <v>1590</v>
      </c>
      <c r="AW23" s="14">
        <v>0.115351131746953</v>
      </c>
      <c r="AX23" s="56"/>
      <c r="AY23" s="55"/>
      <c r="AZ23" s="56"/>
      <c r="BA23" s="9">
        <v>13791741.680000033</v>
      </c>
      <c r="BB23" s="14">
        <v>0.16533781071204107</v>
      </c>
      <c r="BC23" s="10">
        <v>1688</v>
      </c>
      <c r="BD23" s="14">
        <v>0.12056281694164703</v>
      </c>
      <c r="BE23" s="56"/>
      <c r="BF23" s="55"/>
      <c r="BG23" s="56"/>
      <c r="BH23" s="9">
        <v>13351179.450000038</v>
      </c>
      <c r="BI23" s="14">
        <v>0.17506940221803696</v>
      </c>
      <c r="BJ23" s="10">
        <v>1638</v>
      </c>
      <c r="BK23" s="14">
        <v>0.13350721330181758</v>
      </c>
      <c r="BL23" s="56"/>
      <c r="BM23" s="55"/>
      <c r="BN23" s="56"/>
      <c r="BO23" s="9">
        <v>10099250.769999998</v>
      </c>
      <c r="BP23" s="14">
        <v>0.14425978227790945</v>
      </c>
      <c r="BQ23" s="10">
        <v>1302</v>
      </c>
      <c r="BR23" s="14">
        <v>0.11478444855858239</v>
      </c>
      <c r="BS23" s="56"/>
      <c r="BT23" s="55"/>
      <c r="BU23" s="56"/>
      <c r="BV23" s="9">
        <v>7768483.67</v>
      </c>
      <c r="BW23" s="14">
        <v>0.12112924006682135</v>
      </c>
      <c r="BX23" s="10">
        <v>1039</v>
      </c>
      <c r="BY23" s="14">
        <v>0.09888645664794898</v>
      </c>
      <c r="BZ23" s="56"/>
      <c r="CA23" s="55"/>
      <c r="CB23" s="56"/>
      <c r="CC23" s="9">
        <v>5984704.769999995</v>
      </c>
      <c r="CD23" s="14">
        <v>0.10119007322280622</v>
      </c>
      <c r="CE23" s="10">
        <v>825</v>
      </c>
      <c r="CF23" s="14">
        <v>0.08390114919149802</v>
      </c>
      <c r="CG23" s="56"/>
      <c r="CH23" s="55"/>
      <c r="CI23" s="56"/>
      <c r="CJ23" s="9">
        <v>3792590.26</v>
      </c>
      <c r="CK23" s="14">
        <v>0.06972656583263048</v>
      </c>
      <c r="CL23" s="10">
        <v>546</v>
      </c>
      <c r="CM23" s="14">
        <v>0.059874986292356616</v>
      </c>
      <c r="CN23" s="56"/>
      <c r="CO23" s="55"/>
      <c r="CP23" s="56"/>
      <c r="CQ23" s="9">
        <v>2555211.61</v>
      </c>
      <c r="CR23" s="14">
        <v>0.05112643659546853</v>
      </c>
      <c r="CS23" s="10">
        <v>365</v>
      </c>
      <c r="CT23" s="14">
        <v>0.04362897442027253</v>
      </c>
      <c r="CU23" s="56"/>
      <c r="CV23" s="55"/>
      <c r="CW23" s="56"/>
      <c r="CX23" s="9">
        <v>1562015.28</v>
      </c>
      <c r="CY23" s="14">
        <v>0.033702685040543544</v>
      </c>
      <c r="CZ23" s="10">
        <v>220</v>
      </c>
      <c r="DA23" s="14">
        <v>0.02815819787533598</v>
      </c>
      <c r="DB23" s="56"/>
      <c r="DC23" s="55"/>
      <c r="DD23" s="56"/>
    </row>
    <row r="24" spans="1:108" ht="12.75">
      <c r="A24" s="8" t="s">
        <v>30</v>
      </c>
      <c r="B24" s="8"/>
      <c r="C24" s="8"/>
      <c r="D24" s="9">
        <v>18024927.009999994</v>
      </c>
      <c r="E24" s="14">
        <f t="shared" si="0"/>
        <v>0.19718940019261538</v>
      </c>
      <c r="F24" s="10">
        <v>2139</v>
      </c>
      <c r="G24" s="14">
        <f t="shared" si="1"/>
        <v>0.11265009479671372</v>
      </c>
      <c r="H24" s="8"/>
      <c r="I24" s="8"/>
      <c r="J24" s="9">
        <v>18406512.990000073</v>
      </c>
      <c r="K24" s="14">
        <f t="shared" si="2"/>
        <v>0.22119403519831168</v>
      </c>
      <c r="L24" s="10">
        <v>1918</v>
      </c>
      <c r="M24" s="14">
        <f t="shared" si="3"/>
        <v>0.12630885742509054</v>
      </c>
      <c r="N24" s="56"/>
      <c r="O24" s="55"/>
      <c r="P24" s="56"/>
      <c r="Q24" s="8"/>
      <c r="R24" s="9">
        <v>16463025.009999987</v>
      </c>
      <c r="S24" s="14">
        <v>0.20960108151152046</v>
      </c>
      <c r="T24" s="10">
        <v>1692</v>
      </c>
      <c r="U24" s="14">
        <v>0.11776988932971393</v>
      </c>
      <c r="V24" s="56"/>
      <c r="W24" s="55"/>
      <c r="X24" s="56"/>
      <c r="Y24" s="9">
        <v>17721647.620000027</v>
      </c>
      <c r="Z24" s="14">
        <v>0.21904633402816978</v>
      </c>
      <c r="AA24" s="10">
        <v>1865</v>
      </c>
      <c r="AB24" s="14">
        <v>0.12835512732278045</v>
      </c>
      <c r="AC24" s="56"/>
      <c r="AD24" s="55"/>
      <c r="AE24" s="56"/>
      <c r="AF24" s="9">
        <v>17022914.380000014</v>
      </c>
      <c r="AG24" s="14">
        <v>0.21203244824793108</v>
      </c>
      <c r="AH24" s="10">
        <v>1804</v>
      </c>
      <c r="AI24" s="14">
        <v>0.12697072072072071</v>
      </c>
      <c r="AJ24" s="56"/>
      <c r="AK24" s="55"/>
      <c r="AL24" s="56"/>
      <c r="AM24" s="9">
        <v>13314252.640000008</v>
      </c>
      <c r="AN24" s="14">
        <v>0.1631035395300933</v>
      </c>
      <c r="AO24" s="10">
        <v>1486</v>
      </c>
      <c r="AP24" s="14">
        <v>0.1049657413293777</v>
      </c>
      <c r="AQ24" s="56"/>
      <c r="AR24" s="55"/>
      <c r="AS24" s="56"/>
      <c r="AT24" s="9">
        <v>10065023.920000004</v>
      </c>
      <c r="AU24" s="14">
        <v>0.1252415427041017</v>
      </c>
      <c r="AV24" s="10">
        <v>1175</v>
      </c>
      <c r="AW24" s="14">
        <v>0.08524376088218225</v>
      </c>
      <c r="AX24" s="56"/>
      <c r="AY24" s="55"/>
      <c r="AZ24" s="56"/>
      <c r="BA24" s="9">
        <v>8926815.659999982</v>
      </c>
      <c r="BB24" s="14">
        <v>0.10701622696389984</v>
      </c>
      <c r="BC24" s="10">
        <v>1075</v>
      </c>
      <c r="BD24" s="14">
        <v>0.0767802299835726</v>
      </c>
      <c r="BE24" s="56"/>
      <c r="BF24" s="55"/>
      <c r="BG24" s="56"/>
      <c r="BH24" s="9">
        <v>5549937.950000005</v>
      </c>
      <c r="BI24" s="14">
        <v>0.07277441838696097</v>
      </c>
      <c r="BJ24" s="10">
        <v>684</v>
      </c>
      <c r="BK24" s="14">
        <v>0.05575026489526449</v>
      </c>
      <c r="BL24" s="56"/>
      <c r="BM24" s="55"/>
      <c r="BN24" s="56"/>
      <c r="BO24" s="9">
        <v>3827263.03</v>
      </c>
      <c r="BP24" s="14">
        <v>0.0546694149894935</v>
      </c>
      <c r="BQ24" s="10">
        <v>467</v>
      </c>
      <c r="BR24" s="14">
        <v>0.04117076611125804</v>
      </c>
      <c r="BS24" s="56"/>
      <c r="BT24" s="55"/>
      <c r="BU24" s="56"/>
      <c r="BV24" s="9">
        <v>2282509.14</v>
      </c>
      <c r="BW24" s="14">
        <v>0.035589776501876086</v>
      </c>
      <c r="BX24" s="10">
        <v>279</v>
      </c>
      <c r="BY24" s="14">
        <v>0.026553726087370326</v>
      </c>
      <c r="BZ24" s="56"/>
      <c r="CA24" s="55"/>
      <c r="CB24" s="56"/>
      <c r="CC24" s="9">
        <v>1667874.35</v>
      </c>
      <c r="CD24" s="14">
        <v>0.028200610404202187</v>
      </c>
      <c r="CE24" s="10">
        <v>202</v>
      </c>
      <c r="CF24" s="14">
        <v>0.02054306925658497</v>
      </c>
      <c r="CG24" s="56"/>
      <c r="CH24" s="55"/>
      <c r="CI24" s="56"/>
      <c r="CJ24" s="9">
        <v>1334840.25</v>
      </c>
      <c r="CK24" s="14">
        <v>0.024540965458174732</v>
      </c>
      <c r="CL24" s="10">
        <v>165</v>
      </c>
      <c r="CM24" s="14">
        <v>0.018094089264173704</v>
      </c>
      <c r="CN24" s="56"/>
      <c r="CO24" s="55"/>
      <c r="CP24" s="56"/>
      <c r="CQ24" s="9">
        <v>1018923.65</v>
      </c>
      <c r="CR24" s="14">
        <v>0.020387327289636256</v>
      </c>
      <c r="CS24" s="10">
        <v>128</v>
      </c>
      <c r="CT24" s="14">
        <v>0.015300023906287354</v>
      </c>
      <c r="CU24" s="56"/>
      <c r="CV24" s="55"/>
      <c r="CW24" s="56"/>
      <c r="CX24" s="9">
        <v>913941.24</v>
      </c>
      <c r="CY24" s="14">
        <v>0.01971957262625742</v>
      </c>
      <c r="CZ24" s="10">
        <v>113</v>
      </c>
      <c r="DA24" s="14">
        <v>0.014463074363240753</v>
      </c>
      <c r="DB24" s="56"/>
      <c r="DC24" s="55"/>
      <c r="DD24" s="56"/>
    </row>
    <row r="25" spans="1:108" ht="12.75">
      <c r="A25" s="8" t="s">
        <v>83</v>
      </c>
      <c r="B25" s="8"/>
      <c r="C25" s="8"/>
      <c r="D25" s="9">
        <v>18333677.65000001</v>
      </c>
      <c r="E25" s="14">
        <f t="shared" si="0"/>
        <v>0.20056707564599793</v>
      </c>
      <c r="F25" s="10">
        <v>1779</v>
      </c>
      <c r="G25" s="14">
        <f t="shared" si="1"/>
        <v>0.0936907520539288</v>
      </c>
      <c r="H25" s="8"/>
      <c r="I25" s="8"/>
      <c r="J25" s="9">
        <v>13293018.860000016</v>
      </c>
      <c r="K25" s="14">
        <f t="shared" si="2"/>
        <v>0.1597443515351385</v>
      </c>
      <c r="L25" s="10">
        <v>1196</v>
      </c>
      <c r="M25" s="14">
        <f t="shared" si="3"/>
        <v>0.07876193612117222</v>
      </c>
      <c r="N25" s="56"/>
      <c r="O25" s="55"/>
      <c r="P25" s="56"/>
      <c r="Q25" s="8"/>
      <c r="R25" s="9">
        <v>9043978.599999994</v>
      </c>
      <c r="S25" s="14">
        <v>0.11514455542499641</v>
      </c>
      <c r="T25" s="10">
        <v>817</v>
      </c>
      <c r="U25" s="14">
        <v>0.05686643001322475</v>
      </c>
      <c r="V25" s="56"/>
      <c r="W25" s="55"/>
      <c r="X25" s="56"/>
      <c r="Y25" s="9">
        <v>6372703.409999999</v>
      </c>
      <c r="Z25" s="14">
        <v>0.07876904843960068</v>
      </c>
      <c r="AA25" s="10">
        <v>582</v>
      </c>
      <c r="AB25" s="14">
        <v>0.040055058499655884</v>
      </c>
      <c r="AC25" s="56"/>
      <c r="AD25" s="55"/>
      <c r="AE25" s="56"/>
      <c r="AF25" s="9">
        <v>3696574.64</v>
      </c>
      <c r="AG25" s="14">
        <v>0.046043453756149016</v>
      </c>
      <c r="AH25" s="10">
        <v>342</v>
      </c>
      <c r="AI25" s="14">
        <v>0.024070945945945946</v>
      </c>
      <c r="AJ25" s="56"/>
      <c r="AK25" s="55"/>
      <c r="AL25" s="56"/>
      <c r="AM25" s="9">
        <v>2549989.57</v>
      </c>
      <c r="AN25" s="14">
        <v>0.031238127732554445</v>
      </c>
      <c r="AO25" s="10">
        <v>237</v>
      </c>
      <c r="AP25" s="14">
        <v>0.016740834922653103</v>
      </c>
      <c r="AQ25" s="56"/>
      <c r="AR25" s="55"/>
      <c r="AS25" s="56"/>
      <c r="AT25" s="9">
        <v>2053864.17</v>
      </c>
      <c r="AU25" s="14">
        <v>0.025556731826970103</v>
      </c>
      <c r="AV25" s="10">
        <v>193</v>
      </c>
      <c r="AW25" s="14">
        <v>0.014001741149158444</v>
      </c>
      <c r="AX25" s="56"/>
      <c r="AY25" s="55"/>
      <c r="AZ25" s="56"/>
      <c r="BA25" s="9">
        <v>2112350.47</v>
      </c>
      <c r="BB25" s="14">
        <v>0.025323226773657927</v>
      </c>
      <c r="BC25" s="10">
        <v>207</v>
      </c>
      <c r="BD25" s="14">
        <v>0.014784658238697236</v>
      </c>
      <c r="BE25" s="56"/>
      <c r="BF25" s="55"/>
      <c r="BG25" s="56"/>
      <c r="BH25" s="9">
        <v>2031177.45</v>
      </c>
      <c r="BI25" s="14">
        <v>0.026634127966144266</v>
      </c>
      <c r="BJ25" s="10">
        <v>207</v>
      </c>
      <c r="BK25" s="14">
        <v>0.016871790691987937</v>
      </c>
      <c r="BL25" s="56"/>
      <c r="BM25" s="55"/>
      <c r="BN25" s="56"/>
      <c r="BO25" s="9">
        <v>1555676.2</v>
      </c>
      <c r="BP25" s="14">
        <v>0.022221599900615736</v>
      </c>
      <c r="BQ25" s="10">
        <v>165</v>
      </c>
      <c r="BR25" s="14">
        <v>0.014546416291986247</v>
      </c>
      <c r="BS25" s="56"/>
      <c r="BT25" s="55"/>
      <c r="BU25" s="56"/>
      <c r="BV25" s="9">
        <v>1460903.18</v>
      </c>
      <c r="BW25" s="14">
        <v>0.022778974574918922</v>
      </c>
      <c r="BX25" s="10">
        <v>154</v>
      </c>
      <c r="BY25" s="14">
        <v>0.014656895403064623</v>
      </c>
      <c r="BZ25" s="56"/>
      <c r="CA25" s="55"/>
      <c r="CB25" s="56"/>
      <c r="CC25" s="9">
        <v>1254316.68</v>
      </c>
      <c r="CD25" s="14">
        <v>0.021208129986633795</v>
      </c>
      <c r="CE25" s="10">
        <v>132</v>
      </c>
      <c r="CF25" s="14">
        <v>0.013424183870639683</v>
      </c>
      <c r="CG25" s="56"/>
      <c r="CH25" s="55"/>
      <c r="CI25" s="56"/>
      <c r="CJ25" s="9">
        <v>998411.11</v>
      </c>
      <c r="CK25" s="14">
        <v>0.01835573400155403</v>
      </c>
      <c r="CL25" s="10">
        <v>104</v>
      </c>
      <c r="CM25" s="14">
        <v>0.011404759293782213</v>
      </c>
      <c r="CN25" s="56"/>
      <c r="CO25" s="55"/>
      <c r="CP25" s="56"/>
      <c r="CQ25" s="9">
        <v>874419.14</v>
      </c>
      <c r="CR25" s="14">
        <v>0.017495981367693512</v>
      </c>
      <c r="CS25" s="10">
        <v>89</v>
      </c>
      <c r="CT25" s="14">
        <v>0.010638297872340425</v>
      </c>
      <c r="CU25" s="56"/>
      <c r="CV25" s="55"/>
      <c r="CW25" s="56"/>
      <c r="CX25" s="9">
        <v>606737.58</v>
      </c>
      <c r="CY25" s="14">
        <v>0.013091219927759985</v>
      </c>
      <c r="CZ25" s="10">
        <v>61</v>
      </c>
      <c r="DA25" s="14">
        <v>0.007807500319979521</v>
      </c>
      <c r="DB25" s="56"/>
      <c r="DC25" s="55"/>
      <c r="DD25" s="56"/>
    </row>
    <row r="26" spans="1:108" ht="12.75">
      <c r="A26" s="8" t="s">
        <v>84</v>
      </c>
      <c r="B26" s="8"/>
      <c r="C26" s="8"/>
      <c r="D26" s="9">
        <v>3743617.17</v>
      </c>
      <c r="E26" s="14">
        <f t="shared" si="0"/>
        <v>0.040954486189793256</v>
      </c>
      <c r="F26" s="10">
        <v>355</v>
      </c>
      <c r="G26" s="14">
        <f t="shared" si="1"/>
        <v>0.018696018538024016</v>
      </c>
      <c r="H26" s="8"/>
      <c r="I26" s="8"/>
      <c r="J26" s="9">
        <v>2422324</v>
      </c>
      <c r="K26" s="14">
        <f t="shared" si="2"/>
        <v>0.02910945817976537</v>
      </c>
      <c r="L26" s="10">
        <v>195</v>
      </c>
      <c r="M26" s="14">
        <f t="shared" si="3"/>
        <v>0.012841620019756339</v>
      </c>
      <c r="N26" s="56"/>
      <c r="O26" s="55"/>
      <c r="P26" s="56"/>
      <c r="Q26" s="8"/>
      <c r="R26" s="9">
        <v>1927447.84</v>
      </c>
      <c r="S26" s="14">
        <v>0.024539545531617</v>
      </c>
      <c r="T26" s="10">
        <v>154</v>
      </c>
      <c r="U26" s="14">
        <v>0.010719008839702095</v>
      </c>
      <c r="V26" s="56"/>
      <c r="W26" s="55"/>
      <c r="X26" s="56"/>
      <c r="Y26" s="9">
        <v>1975891.86</v>
      </c>
      <c r="Z26" s="14">
        <v>0.024422778155268443</v>
      </c>
      <c r="AA26" s="10">
        <v>166</v>
      </c>
      <c r="AB26" s="14">
        <v>0.011424638678596008</v>
      </c>
      <c r="AC26" s="56"/>
      <c r="AD26" s="55"/>
      <c r="AE26" s="56"/>
      <c r="AF26" s="9">
        <v>2119996.6</v>
      </c>
      <c r="AG26" s="14">
        <v>0.026406058289490688</v>
      </c>
      <c r="AH26" s="10">
        <v>191</v>
      </c>
      <c r="AI26" s="14">
        <v>0.01344313063063063</v>
      </c>
      <c r="AJ26" s="56"/>
      <c r="AK26" s="55"/>
      <c r="AL26" s="56"/>
      <c r="AM26" s="9">
        <v>1925814.93</v>
      </c>
      <c r="AN26" s="14">
        <v>0.02359180346474923</v>
      </c>
      <c r="AO26" s="10">
        <v>183</v>
      </c>
      <c r="AP26" s="14">
        <v>0.012926467471922018</v>
      </c>
      <c r="AQ26" s="56"/>
      <c r="AR26" s="55"/>
      <c r="AS26" s="56"/>
      <c r="AT26" s="9">
        <v>1630135.32</v>
      </c>
      <c r="AU26" s="14">
        <v>0.020284170600683923</v>
      </c>
      <c r="AV26" s="10">
        <v>165</v>
      </c>
      <c r="AW26" s="14">
        <v>0.011970400464306443</v>
      </c>
      <c r="AX26" s="56"/>
      <c r="AY26" s="55"/>
      <c r="AZ26" s="56"/>
      <c r="BA26" s="9">
        <v>1960601.19</v>
      </c>
      <c r="BB26" s="14">
        <v>0.023504029872028587</v>
      </c>
      <c r="BC26" s="10">
        <v>189</v>
      </c>
      <c r="BD26" s="14">
        <v>0.013499035783158345</v>
      </c>
      <c r="BE26" s="56"/>
      <c r="BF26" s="55"/>
      <c r="BG26" s="56"/>
      <c r="BH26" s="9">
        <v>1549704.4</v>
      </c>
      <c r="BI26" s="14">
        <v>0.020320738249283345</v>
      </c>
      <c r="BJ26" s="10">
        <v>150</v>
      </c>
      <c r="BK26" s="14">
        <v>0.01222593528404923</v>
      </c>
      <c r="BL26" s="56"/>
      <c r="BM26" s="55"/>
      <c r="BN26" s="56"/>
      <c r="BO26" s="9">
        <v>1309160</v>
      </c>
      <c r="BP26" s="14">
        <v>0.018700311623903565</v>
      </c>
      <c r="BQ26" s="10">
        <v>121</v>
      </c>
      <c r="BR26" s="14">
        <v>0.01066737194745658</v>
      </c>
      <c r="BS26" s="56"/>
      <c r="BT26" s="55"/>
      <c r="BU26" s="56"/>
      <c r="BV26" s="9">
        <v>820358.1</v>
      </c>
      <c r="BW26" s="14">
        <v>0.012791344805087484</v>
      </c>
      <c r="BX26" s="10">
        <v>75</v>
      </c>
      <c r="BY26" s="14">
        <v>0.00713809841058342</v>
      </c>
      <c r="BZ26" s="56"/>
      <c r="CA26" s="55"/>
      <c r="CB26" s="56"/>
      <c r="CC26" s="9">
        <v>532122.34</v>
      </c>
      <c r="CD26" s="14">
        <v>0.008997185428094398</v>
      </c>
      <c r="CE26" s="10">
        <v>50</v>
      </c>
      <c r="CF26" s="14">
        <v>0.005084918132818062</v>
      </c>
      <c r="CG26" s="56"/>
      <c r="CH26" s="55"/>
      <c r="CI26" s="56"/>
      <c r="CJ26" s="9">
        <v>321966.41</v>
      </c>
      <c r="CK26" s="14">
        <v>0.005919334951506384</v>
      </c>
      <c r="CL26" s="10">
        <v>32</v>
      </c>
      <c r="CM26" s="14">
        <v>0.0035091567057791424</v>
      </c>
      <c r="CN26" s="56"/>
      <c r="CO26" s="55"/>
      <c r="CP26" s="56"/>
      <c r="CQ26" s="9">
        <v>1346613.42</v>
      </c>
      <c r="CR26" s="14">
        <v>0.02694397026328363</v>
      </c>
      <c r="CS26" s="10">
        <v>167</v>
      </c>
      <c r="CT26" s="14">
        <v>0.01996174994023428</v>
      </c>
      <c r="CU26" s="56"/>
      <c r="CV26" s="55"/>
      <c r="CW26" s="56"/>
      <c r="CX26" s="9">
        <v>3288442.07</v>
      </c>
      <c r="CY26" s="14">
        <v>0.07095278053828194</v>
      </c>
      <c r="CZ26" s="10">
        <v>413</v>
      </c>
      <c r="DA26" s="14">
        <v>0.052860616920517085</v>
      </c>
      <c r="DB26" s="56"/>
      <c r="DC26" s="55"/>
      <c r="DD26" s="56"/>
    </row>
    <row r="27" spans="1:108" ht="12.75">
      <c r="A27" s="8" t="s">
        <v>85</v>
      </c>
      <c r="B27" s="8"/>
      <c r="C27" s="8"/>
      <c r="D27" s="9">
        <v>984520.5</v>
      </c>
      <c r="E27" s="14">
        <f t="shared" si="0"/>
        <v>0.010770473953355213</v>
      </c>
      <c r="F27" s="10">
        <v>82</v>
      </c>
      <c r="G27" s="14">
        <f t="shared" si="1"/>
        <v>0.004318516958078787</v>
      </c>
      <c r="H27" s="8"/>
      <c r="I27" s="8"/>
      <c r="J27" s="9">
        <v>449874.72</v>
      </c>
      <c r="K27" s="14">
        <f t="shared" si="2"/>
        <v>0.005406217065914244</v>
      </c>
      <c r="L27" s="10">
        <v>32</v>
      </c>
      <c r="M27" s="14">
        <f t="shared" si="3"/>
        <v>0.002107342772472835</v>
      </c>
      <c r="N27" s="56"/>
      <c r="O27" s="55"/>
      <c r="P27" s="56"/>
      <c r="Q27" s="8"/>
      <c r="R27" s="9">
        <v>153705.49</v>
      </c>
      <c r="S27" s="14">
        <v>0.0019569208525583247</v>
      </c>
      <c r="T27" s="10">
        <v>18</v>
      </c>
      <c r="U27" s="14">
        <v>0.001252871163082063</v>
      </c>
      <c r="V27" s="56"/>
      <c r="W27" s="55"/>
      <c r="X27" s="56"/>
      <c r="Y27" s="9">
        <v>366659.95</v>
      </c>
      <c r="Z27" s="14">
        <v>0.004532057041457635</v>
      </c>
      <c r="AA27" s="10">
        <v>40</v>
      </c>
      <c r="AB27" s="14">
        <v>0.0027529249827942187</v>
      </c>
      <c r="AC27" s="56"/>
      <c r="AD27" s="55"/>
      <c r="AE27" s="56"/>
      <c r="AF27" s="9">
        <v>503312.04</v>
      </c>
      <c r="AG27" s="14">
        <v>0.006269107726890918</v>
      </c>
      <c r="AH27" s="10">
        <v>54</v>
      </c>
      <c r="AI27" s="14">
        <v>0.003800675675675676</v>
      </c>
      <c r="AJ27" s="56"/>
      <c r="AK27" s="55"/>
      <c r="AL27" s="56"/>
      <c r="AM27" s="9">
        <v>565577.8</v>
      </c>
      <c r="AN27" s="14">
        <v>0.006928495616982911</v>
      </c>
      <c r="AO27" s="10">
        <v>59</v>
      </c>
      <c r="AP27" s="14">
        <v>0.004167549622095076</v>
      </c>
      <c r="AQ27" s="56"/>
      <c r="AR27" s="55"/>
      <c r="AS27" s="56"/>
      <c r="AT27" s="9">
        <v>708582</v>
      </c>
      <c r="AU27" s="14">
        <v>0.00881705831180556</v>
      </c>
      <c r="AV27" s="10">
        <v>73</v>
      </c>
      <c r="AW27" s="14">
        <v>0.005295995356935578</v>
      </c>
      <c r="AX27" s="56"/>
      <c r="AY27" s="55"/>
      <c r="AZ27" s="56"/>
      <c r="BA27" s="9">
        <v>645391.63</v>
      </c>
      <c r="BB27" s="14">
        <v>0.007737067705583318</v>
      </c>
      <c r="BC27" s="10">
        <v>64</v>
      </c>
      <c r="BD27" s="14">
        <v>0.004571102064138276</v>
      </c>
      <c r="BE27" s="56"/>
      <c r="BF27" s="55"/>
      <c r="BG27" s="56"/>
      <c r="BH27" s="9">
        <v>393313.08</v>
      </c>
      <c r="BI27" s="14">
        <v>0.005157378496634224</v>
      </c>
      <c r="BJ27" s="10">
        <v>40</v>
      </c>
      <c r="BK27" s="14">
        <v>0.0032602494090797946</v>
      </c>
      <c r="BL27" s="56"/>
      <c r="BM27" s="55"/>
      <c r="BN27" s="56"/>
      <c r="BO27" s="9">
        <v>1818991.19</v>
      </c>
      <c r="BP27" s="14">
        <v>0.025982845560615316</v>
      </c>
      <c r="BQ27" s="10">
        <v>219</v>
      </c>
      <c r="BR27" s="14">
        <v>0.01930706162390902</v>
      </c>
      <c r="BS27" s="56"/>
      <c r="BT27" s="55"/>
      <c r="BU27" s="56"/>
      <c r="BV27" s="9">
        <v>4516510.29</v>
      </c>
      <c r="BW27" s="14">
        <v>0.07042319742453405</v>
      </c>
      <c r="BX27" s="10">
        <v>538</v>
      </c>
      <c r="BY27" s="14">
        <v>0.05120395926525174</v>
      </c>
      <c r="BZ27" s="56"/>
      <c r="CA27" s="55"/>
      <c r="CB27" s="56"/>
      <c r="CC27" s="9">
        <v>8467238.829999996</v>
      </c>
      <c r="CD27" s="14">
        <v>0.1431650432445122</v>
      </c>
      <c r="CE27" s="10">
        <v>1006</v>
      </c>
      <c r="CF27" s="14">
        <v>0.1023085528322994</v>
      </c>
      <c r="CG27" s="56"/>
      <c r="CH27" s="55"/>
      <c r="CI27" s="56"/>
      <c r="CJ27" s="9">
        <v>11359794.880000005</v>
      </c>
      <c r="CK27" s="14">
        <v>0.20884921155324035</v>
      </c>
      <c r="CL27" s="10">
        <v>1367</v>
      </c>
      <c r="CM27" s="14">
        <v>0.14990678802500274</v>
      </c>
      <c r="CN27" s="56"/>
      <c r="CO27" s="55"/>
      <c r="CP27" s="56"/>
      <c r="CQ27" s="9">
        <v>11587439.480000025</v>
      </c>
      <c r="CR27" s="14">
        <v>0.23184948266497993</v>
      </c>
      <c r="CS27" s="10">
        <v>1403</v>
      </c>
      <c r="CT27" s="14">
        <v>0.16770260578532153</v>
      </c>
      <c r="CU27" s="56"/>
      <c r="CV27" s="55"/>
      <c r="CW27" s="56"/>
      <c r="CX27" s="9">
        <v>10738793.450000005</v>
      </c>
      <c r="CY27" s="14">
        <v>0.23170463054676527</v>
      </c>
      <c r="CZ27" s="10">
        <v>1231</v>
      </c>
      <c r="DA27" s="14">
        <v>0.15755791629335722</v>
      </c>
      <c r="DB27" s="56"/>
      <c r="DC27" s="55"/>
      <c r="DD27" s="56"/>
    </row>
    <row r="28" spans="1:108" ht="12.75">
      <c r="A28" s="8" t="s">
        <v>86</v>
      </c>
      <c r="B28" s="8"/>
      <c r="C28" s="8"/>
      <c r="D28" s="9">
        <v>0</v>
      </c>
      <c r="E28" s="14">
        <f t="shared" si="0"/>
        <v>0</v>
      </c>
      <c r="F28" s="10">
        <v>0</v>
      </c>
      <c r="G28" s="14">
        <f t="shared" si="1"/>
        <v>0</v>
      </c>
      <c r="H28" s="8"/>
      <c r="I28" s="8"/>
      <c r="J28" s="9">
        <v>0</v>
      </c>
      <c r="K28" s="14">
        <f t="shared" si="2"/>
        <v>0</v>
      </c>
      <c r="L28" s="10">
        <v>0</v>
      </c>
      <c r="M28" s="14">
        <f t="shared" si="3"/>
        <v>0</v>
      </c>
      <c r="N28" s="56"/>
      <c r="O28" s="55"/>
      <c r="P28" s="56"/>
      <c r="Q28" s="8"/>
      <c r="R28" s="9">
        <v>28713.27</v>
      </c>
      <c r="S28" s="14">
        <v>0.0003655666222991603</v>
      </c>
      <c r="T28" s="10">
        <v>5</v>
      </c>
      <c r="U28" s="14">
        <v>0.0003480197675227953</v>
      </c>
      <c r="V28" s="56"/>
      <c r="W28" s="55"/>
      <c r="X28" s="56"/>
      <c r="Y28" s="9">
        <v>97561.62</v>
      </c>
      <c r="Z28" s="14">
        <v>0.00120589889050335</v>
      </c>
      <c r="AA28" s="10">
        <v>15</v>
      </c>
      <c r="AB28" s="14">
        <v>0.0010323468685478321</v>
      </c>
      <c r="AC28" s="56"/>
      <c r="AD28" s="55"/>
      <c r="AE28" s="56"/>
      <c r="AF28" s="9">
        <v>156829.69</v>
      </c>
      <c r="AG28" s="14">
        <v>0.001953424800616547</v>
      </c>
      <c r="AH28" s="10">
        <v>20</v>
      </c>
      <c r="AI28" s="14">
        <v>0.0014076576576576576</v>
      </c>
      <c r="AJ28" s="56"/>
      <c r="AK28" s="55"/>
      <c r="AL28" s="56"/>
      <c r="AM28" s="9">
        <v>2311122.7</v>
      </c>
      <c r="AN28" s="14">
        <v>0.028311937804595063</v>
      </c>
      <c r="AO28" s="10">
        <v>272</v>
      </c>
      <c r="AP28" s="14">
        <v>0.019213110122201033</v>
      </c>
      <c r="AQ28" s="56"/>
      <c r="AR28" s="55"/>
      <c r="AS28" s="56"/>
      <c r="AT28" s="9">
        <v>6052332.239999994</v>
      </c>
      <c r="AU28" s="14">
        <v>0.07531064334473737</v>
      </c>
      <c r="AV28" s="10">
        <v>675</v>
      </c>
      <c r="AW28" s="14">
        <v>0.048969820081253626</v>
      </c>
      <c r="AX28" s="56"/>
      <c r="AY28" s="55"/>
      <c r="AZ28" s="56"/>
      <c r="BA28" s="9">
        <v>11668370.259999985</v>
      </c>
      <c r="BB28" s="14">
        <v>0.13988246286279649</v>
      </c>
      <c r="BC28" s="10">
        <v>1294</v>
      </c>
      <c r="BD28" s="14">
        <v>0.09242196985929577</v>
      </c>
      <c r="BE28" s="56"/>
      <c r="BF28" s="55"/>
      <c r="BG28" s="56"/>
      <c r="BH28" s="9">
        <v>15939551.140000025</v>
      </c>
      <c r="BI28" s="14">
        <v>0.20900982569773083</v>
      </c>
      <c r="BJ28" s="10">
        <v>1769</v>
      </c>
      <c r="BK28" s="14">
        <v>0.1441845301165539</v>
      </c>
      <c r="BL28" s="56"/>
      <c r="BM28" s="55"/>
      <c r="BN28" s="56"/>
      <c r="BO28" s="9">
        <v>16265296.349999998</v>
      </c>
      <c r="BP28" s="14">
        <v>0.2323368498885859</v>
      </c>
      <c r="BQ28" s="10">
        <v>1807</v>
      </c>
      <c r="BR28" s="14">
        <v>0.15930529842193422</v>
      </c>
      <c r="BS28" s="56"/>
      <c r="BT28" s="55"/>
      <c r="BU28" s="56"/>
      <c r="BV28" s="9">
        <v>15061405.91</v>
      </c>
      <c r="BW28" s="14">
        <v>0.23484334005380383</v>
      </c>
      <c r="BX28" s="10">
        <v>1595</v>
      </c>
      <c r="BY28" s="14">
        <v>0.15180355953174074</v>
      </c>
      <c r="BZ28" s="56"/>
      <c r="CA28" s="55"/>
      <c r="CB28" s="56"/>
      <c r="CC28" s="9">
        <v>10975805.889999997</v>
      </c>
      <c r="CD28" s="14">
        <v>0.1855801822097915</v>
      </c>
      <c r="CE28" s="10">
        <v>1103</v>
      </c>
      <c r="CF28" s="14">
        <v>0.11217329400996644</v>
      </c>
      <c r="CG28" s="56"/>
      <c r="CH28" s="55"/>
      <c r="CI28" s="56"/>
      <c r="CJ28" s="9">
        <v>6893860.990000003</v>
      </c>
      <c r="CK28" s="14">
        <v>0.12674325967399344</v>
      </c>
      <c r="CL28" s="10">
        <v>649</v>
      </c>
      <c r="CM28" s="14">
        <v>0.07117008443908324</v>
      </c>
      <c r="CN28" s="56"/>
      <c r="CO28" s="55"/>
      <c r="CP28" s="56"/>
      <c r="CQ28" s="9">
        <v>4193624.44</v>
      </c>
      <c r="CR28" s="14">
        <v>0.08390893075069711</v>
      </c>
      <c r="CS28" s="10">
        <v>364</v>
      </c>
      <c r="CT28" s="14">
        <v>0.04350944298350466</v>
      </c>
      <c r="CU28" s="56"/>
      <c r="CV28" s="55"/>
      <c r="CW28" s="56"/>
      <c r="CX28" s="9">
        <v>1782560.81</v>
      </c>
      <c r="CY28" s="14">
        <v>0.03846126623360956</v>
      </c>
      <c r="CZ28" s="10">
        <v>188</v>
      </c>
      <c r="DA28" s="14">
        <v>0.024062460002559835</v>
      </c>
      <c r="DB28" s="56"/>
      <c r="DC28" s="55"/>
      <c r="DD28" s="56"/>
    </row>
    <row r="29" spans="1:108" ht="12.75">
      <c r="A29" s="8" t="s">
        <v>87</v>
      </c>
      <c r="B29" s="8"/>
      <c r="C29" s="8"/>
      <c r="D29" s="9">
        <v>7218.91</v>
      </c>
      <c r="E29" s="14">
        <f t="shared" si="0"/>
        <v>7.897355324405685E-05</v>
      </c>
      <c r="F29" s="10">
        <v>2</v>
      </c>
      <c r="G29" s="14">
        <f t="shared" si="1"/>
        <v>0.00010532968190436065</v>
      </c>
      <c r="H29" s="8"/>
      <c r="I29" s="8"/>
      <c r="J29" s="9">
        <v>6780.04</v>
      </c>
      <c r="K29" s="14">
        <f t="shared" si="2"/>
        <v>8.147683416303368E-05</v>
      </c>
      <c r="L29" s="10">
        <v>2</v>
      </c>
      <c r="M29" s="14">
        <f t="shared" si="3"/>
        <v>0.0001317089232795522</v>
      </c>
      <c r="N29" s="56"/>
      <c r="O29" s="55"/>
      <c r="P29" s="56"/>
      <c r="Q29" s="8"/>
      <c r="R29" s="9">
        <v>2532463.03</v>
      </c>
      <c r="S29" s="14">
        <v>0.0322423728114073</v>
      </c>
      <c r="T29" s="10">
        <v>281</v>
      </c>
      <c r="U29" s="14">
        <v>0.019558710934781096</v>
      </c>
      <c r="V29" s="56"/>
      <c r="W29" s="55"/>
      <c r="X29" s="56"/>
      <c r="Y29" s="9">
        <v>9171771.1</v>
      </c>
      <c r="Z29" s="14">
        <v>0.11336659429641176</v>
      </c>
      <c r="AA29" s="10">
        <v>991</v>
      </c>
      <c r="AB29" s="14">
        <v>0.06820371644872678</v>
      </c>
      <c r="AC29" s="56"/>
      <c r="AD29" s="55"/>
      <c r="AE29" s="56"/>
      <c r="AF29" s="9">
        <v>13805619.139999988</v>
      </c>
      <c r="AG29" s="14">
        <v>0.17195875867600363</v>
      </c>
      <c r="AH29" s="10">
        <v>1484</v>
      </c>
      <c r="AI29" s="14">
        <v>0.1044481981981982</v>
      </c>
      <c r="AJ29" s="56"/>
      <c r="AK29" s="55"/>
      <c r="AL29" s="56"/>
      <c r="AM29" s="9">
        <v>17238919.030000005</v>
      </c>
      <c r="AN29" s="14">
        <v>0.21118186559104393</v>
      </c>
      <c r="AO29" s="10">
        <v>1815</v>
      </c>
      <c r="AP29" s="14">
        <v>0.1282051282051282</v>
      </c>
      <c r="AQ29" s="56"/>
      <c r="AR29" s="55"/>
      <c r="AS29" s="56"/>
      <c r="AT29" s="9">
        <v>16528379.230000023</v>
      </c>
      <c r="AU29" s="14">
        <v>0.20566664616169486</v>
      </c>
      <c r="AV29" s="10">
        <v>1754</v>
      </c>
      <c r="AW29" s="14">
        <v>0.12724898432965756</v>
      </c>
      <c r="AX29" s="56"/>
      <c r="AY29" s="55"/>
      <c r="AZ29" s="56"/>
      <c r="BA29" s="9">
        <v>14979656.580000019</v>
      </c>
      <c r="BB29" s="14">
        <v>0.17957874223724712</v>
      </c>
      <c r="BC29" s="10">
        <v>1427</v>
      </c>
      <c r="BD29" s="14">
        <v>0.10192129133633313</v>
      </c>
      <c r="BE29" s="56"/>
      <c r="BF29" s="55"/>
      <c r="BG29" s="56"/>
      <c r="BH29" s="9">
        <v>9077986.989999998</v>
      </c>
      <c r="BI29" s="14">
        <v>0.11903650622285747</v>
      </c>
      <c r="BJ29" s="10">
        <v>824</v>
      </c>
      <c r="BK29" s="14">
        <v>0.06716113782704376</v>
      </c>
      <c r="BL29" s="56"/>
      <c r="BM29" s="55"/>
      <c r="BN29" s="56"/>
      <c r="BO29" s="9">
        <v>5416896.079999996</v>
      </c>
      <c r="BP29" s="14">
        <v>0.07737606154351001</v>
      </c>
      <c r="BQ29" s="10">
        <v>443</v>
      </c>
      <c r="BR29" s="14">
        <v>0.03905492374151459</v>
      </c>
      <c r="BS29" s="56"/>
      <c r="BT29" s="55"/>
      <c r="BU29" s="56"/>
      <c r="BV29" s="9">
        <v>2083488.4</v>
      </c>
      <c r="BW29" s="14">
        <v>0.032486567173286934</v>
      </c>
      <c r="BX29" s="10">
        <v>198</v>
      </c>
      <c r="BY29" s="14">
        <v>0.01884457980394023</v>
      </c>
      <c r="BZ29" s="56"/>
      <c r="CA29" s="55"/>
      <c r="CB29" s="56"/>
      <c r="CC29" s="9">
        <v>709096.35</v>
      </c>
      <c r="CD29" s="14">
        <v>0.011989482244505889</v>
      </c>
      <c r="CE29" s="10">
        <v>95</v>
      </c>
      <c r="CF29" s="14">
        <v>0.009661344452354318</v>
      </c>
      <c r="CG29" s="56"/>
      <c r="CH29" s="55"/>
      <c r="CI29" s="56"/>
      <c r="CJ29" s="9">
        <v>327787.92</v>
      </c>
      <c r="CK29" s="14">
        <v>0.006026363096503075</v>
      </c>
      <c r="CL29" s="10">
        <v>54</v>
      </c>
      <c r="CM29" s="14">
        <v>0.005921701941002303</v>
      </c>
      <c r="CN29" s="56"/>
      <c r="CO29" s="55"/>
      <c r="CP29" s="56"/>
      <c r="CQ29" s="9">
        <v>154985.51</v>
      </c>
      <c r="CR29" s="14">
        <v>0.0031010570002189992</v>
      </c>
      <c r="CS29" s="10">
        <v>29</v>
      </c>
      <c r="CT29" s="14">
        <v>0.0034664116662682285</v>
      </c>
      <c r="CU29" s="56"/>
      <c r="CV29" s="55"/>
      <c r="CW29" s="56"/>
      <c r="CX29" s="9">
        <v>18878.86</v>
      </c>
      <c r="CY29" s="14">
        <v>0.0004073380591414674</v>
      </c>
      <c r="CZ29" s="10">
        <v>2</v>
      </c>
      <c r="DA29" s="14">
        <v>0.0002559836170485089</v>
      </c>
      <c r="DB29" s="56"/>
      <c r="DC29" s="55"/>
      <c r="DD29" s="56"/>
    </row>
    <row r="30" spans="1:108" ht="12.75">
      <c r="A30" s="8"/>
      <c r="B30" s="8"/>
      <c r="C30" s="8"/>
      <c r="D30" s="9"/>
      <c r="E30" s="8"/>
      <c r="F30" s="10"/>
      <c r="G30" s="8"/>
      <c r="H30" s="8"/>
      <c r="I30" s="8"/>
      <c r="J30" s="9"/>
      <c r="K30" s="8"/>
      <c r="L30" s="10"/>
      <c r="M30" s="8"/>
      <c r="N30" s="54"/>
      <c r="O30" s="55"/>
      <c r="P30" s="54"/>
      <c r="Q30" s="8"/>
      <c r="R30" s="9"/>
      <c r="S30" s="8"/>
      <c r="T30" s="10"/>
      <c r="U30" s="8"/>
      <c r="V30" s="54"/>
      <c r="W30" s="55"/>
      <c r="X30" s="54"/>
      <c r="Y30" s="9"/>
      <c r="Z30" s="8"/>
      <c r="AA30" s="10"/>
      <c r="AB30" s="8"/>
      <c r="AC30" s="54"/>
      <c r="AD30" s="55"/>
      <c r="AE30" s="54"/>
      <c r="AF30" s="9"/>
      <c r="AG30" s="8"/>
      <c r="AH30" s="10"/>
      <c r="AI30" s="8"/>
      <c r="AJ30" s="54"/>
      <c r="AK30" s="55"/>
      <c r="AL30" s="54"/>
      <c r="AM30" s="9"/>
      <c r="AN30" s="8"/>
      <c r="AO30" s="10"/>
      <c r="AP30" s="8"/>
      <c r="AQ30" s="54"/>
      <c r="AR30" s="55"/>
      <c r="AS30" s="54"/>
      <c r="AT30" s="9"/>
      <c r="AU30" s="8"/>
      <c r="AV30" s="10"/>
      <c r="AW30" s="8"/>
      <c r="AX30" s="54"/>
      <c r="AY30" s="55"/>
      <c r="AZ30" s="54"/>
      <c r="BA30" s="9"/>
      <c r="BB30" s="8"/>
      <c r="BC30" s="10"/>
      <c r="BD30" s="8"/>
      <c r="BE30" s="54"/>
      <c r="BF30" s="55"/>
      <c r="BG30" s="54"/>
      <c r="BH30" s="9"/>
      <c r="BI30" s="8"/>
      <c r="BJ30" s="10"/>
      <c r="BK30" s="8"/>
      <c r="BL30" s="54"/>
      <c r="BM30" s="55"/>
      <c r="BN30" s="54"/>
      <c r="BO30" s="9"/>
      <c r="BP30" s="8"/>
      <c r="BQ30" s="10"/>
      <c r="BR30" s="8"/>
      <c r="BS30" s="54"/>
      <c r="BT30" s="55"/>
      <c r="BU30" s="54"/>
      <c r="BV30" s="9"/>
      <c r="BW30" s="8"/>
      <c r="BX30" s="10"/>
      <c r="BY30" s="8"/>
      <c r="BZ30" s="54"/>
      <c r="CA30" s="55"/>
      <c r="CB30" s="54"/>
      <c r="CC30" s="9"/>
      <c r="CD30" s="8"/>
      <c r="CE30" s="10"/>
      <c r="CF30" s="8"/>
      <c r="CG30" s="54"/>
      <c r="CH30" s="55"/>
      <c r="CI30" s="54"/>
      <c r="CJ30" s="9"/>
      <c r="CK30" s="8"/>
      <c r="CL30" s="10"/>
      <c r="CM30" s="8"/>
      <c r="CN30" s="54"/>
      <c r="CO30" s="55"/>
      <c r="CP30" s="54"/>
      <c r="CQ30" s="9"/>
      <c r="CR30" s="8"/>
      <c r="CS30" s="10"/>
      <c r="CT30" s="8"/>
      <c r="CU30" s="54"/>
      <c r="CV30" s="55"/>
      <c r="CW30" s="54"/>
      <c r="CX30" s="9"/>
      <c r="CY30" s="8"/>
      <c r="CZ30" s="10"/>
      <c r="DA30" s="8"/>
      <c r="DB30" s="54"/>
      <c r="DC30" s="55"/>
      <c r="DD30" s="54"/>
    </row>
    <row r="31" spans="1:108" ht="13.5" thickBot="1">
      <c r="A31" s="8"/>
      <c r="B31" s="12"/>
      <c r="C31" s="12"/>
      <c r="D31" s="21">
        <f>SUM(D20:D29)</f>
        <v>91409208.57000008</v>
      </c>
      <c r="E31" s="12"/>
      <c r="F31" s="22">
        <f>SUM(F20:F29)</f>
        <v>18988</v>
      </c>
      <c r="G31" s="23"/>
      <c r="H31" s="8"/>
      <c r="I31" s="8"/>
      <c r="J31" s="21">
        <f>SUM(J20:J29)</f>
        <v>83214327.97000018</v>
      </c>
      <c r="K31" s="12"/>
      <c r="L31" s="22">
        <f>SUM(L20:L29)</f>
        <v>15185</v>
      </c>
      <c r="M31" s="23"/>
      <c r="N31" s="53"/>
      <c r="O31" s="31"/>
      <c r="P31" s="57"/>
      <c r="Q31" s="8"/>
      <c r="R31" s="21">
        <v>78544561.36999997</v>
      </c>
      <c r="S31" s="12"/>
      <c r="T31" s="22">
        <v>14367</v>
      </c>
      <c r="U31" s="23"/>
      <c r="V31" s="53"/>
      <c r="W31" s="31"/>
      <c r="X31" s="57"/>
      <c r="Y31" s="21">
        <f>SUM(Y20:Y30)</f>
        <v>80903648.53</v>
      </c>
      <c r="Z31" s="12"/>
      <c r="AA31" s="22">
        <f>SUM(AA20:AA30)</f>
        <v>14530</v>
      </c>
      <c r="AB31" s="23"/>
      <c r="AC31" s="53"/>
      <c r="AD31" s="31"/>
      <c r="AE31" s="57"/>
      <c r="AF31" s="21">
        <f>SUM(AF20:AF30)</f>
        <v>80284477.77999996</v>
      </c>
      <c r="AG31" s="12"/>
      <c r="AH31" s="22">
        <f>SUM(AH20:AH30)</f>
        <v>14208</v>
      </c>
      <c r="AI31" s="23"/>
      <c r="AJ31" s="53"/>
      <c r="AK31" s="31"/>
      <c r="AL31" s="57"/>
      <c r="AM31" s="21">
        <f>SUM(AM20:AM30)</f>
        <v>81630678.76</v>
      </c>
      <c r="AN31" s="12"/>
      <c r="AO31" s="22">
        <f>SUM(AO20:AO30)</f>
        <v>14157</v>
      </c>
      <c r="AP31" s="23"/>
      <c r="AQ31" s="53"/>
      <c r="AR31" s="31"/>
      <c r="AS31" s="57"/>
      <c r="AT31" s="21">
        <f>SUM(AT20:AT30)</f>
        <v>80364898.92000005</v>
      </c>
      <c r="AU31" s="12"/>
      <c r="AV31" s="22">
        <f>SUM(AV20:AV30)</f>
        <v>13784</v>
      </c>
      <c r="AW31" s="23"/>
      <c r="AX31" s="53"/>
      <c r="AY31" s="31"/>
      <c r="AZ31" s="57"/>
      <c r="BA31" s="21">
        <f>SUM(BA20:BA30)</f>
        <v>83415533.45000002</v>
      </c>
      <c r="BB31" s="12"/>
      <c r="BC31" s="22">
        <f>SUM(BC20:BC30)</f>
        <v>14001</v>
      </c>
      <c r="BD31" s="23"/>
      <c r="BE31" s="53"/>
      <c r="BF31" s="31"/>
      <c r="BG31" s="57"/>
      <c r="BH31" s="21">
        <f>SUM(BH20:BH30)</f>
        <v>76262209.62000006</v>
      </c>
      <c r="BI31" s="12"/>
      <c r="BJ31" s="22">
        <f>SUM(BJ20:BJ30)</f>
        <v>12269</v>
      </c>
      <c r="BK31" s="23"/>
      <c r="BL31" s="53"/>
      <c r="BM31" s="31"/>
      <c r="BN31" s="57"/>
      <c r="BO31" s="21">
        <f>SUM(BO20:BO30)</f>
        <v>70007389.52</v>
      </c>
      <c r="BP31" s="12"/>
      <c r="BQ31" s="22">
        <f>SUM(BQ20:BQ30)</f>
        <v>11343</v>
      </c>
      <c r="BR31" s="23"/>
      <c r="BS31" s="53"/>
      <c r="BT31" s="31"/>
      <c r="BU31" s="57"/>
      <c r="BV31" s="21">
        <f>SUM(BV20:BV30)</f>
        <v>64133843.04</v>
      </c>
      <c r="BW31" s="12"/>
      <c r="BX31" s="22">
        <f>SUM(BX20:BX30)</f>
        <v>10507</v>
      </c>
      <c r="BY31" s="23"/>
      <c r="BZ31" s="53"/>
      <c r="CA31" s="31"/>
      <c r="CB31" s="57"/>
      <c r="CC31" s="21">
        <f>SUM(CC20:CC30)</f>
        <v>59143200.309999995</v>
      </c>
      <c r="CD31" s="12"/>
      <c r="CE31" s="22">
        <f>SUM(CE20:CE30)</f>
        <v>9833</v>
      </c>
      <c r="CF31" s="23"/>
      <c r="CG31" s="53"/>
      <c r="CH31" s="31"/>
      <c r="CI31" s="57"/>
      <c r="CJ31" s="21">
        <f>SUM(CJ20:CJ30)</f>
        <v>54392328.300000004</v>
      </c>
      <c r="CK31" s="12"/>
      <c r="CL31" s="22">
        <f>SUM(CL20:CL30)</f>
        <v>9119</v>
      </c>
      <c r="CM31" s="23"/>
      <c r="CN31" s="53"/>
      <c r="CO31" s="31"/>
      <c r="CP31" s="57"/>
      <c r="CQ31" s="21">
        <f>SUM(CQ20:CQ30)</f>
        <v>49978284.82000002</v>
      </c>
      <c r="CR31" s="12"/>
      <c r="CS31" s="22">
        <f>SUM(CS20:CS30)</f>
        <v>8366</v>
      </c>
      <c r="CT31" s="23"/>
      <c r="CU31" s="53"/>
      <c r="CV31" s="31"/>
      <c r="CW31" s="57"/>
      <c r="CX31" s="21">
        <f>SUM(CX20:CX30)</f>
        <v>46346909.099999964</v>
      </c>
      <c r="CY31" s="12"/>
      <c r="CZ31" s="22">
        <f>SUM(CZ20:CZ30)</f>
        <v>7813</v>
      </c>
      <c r="DA31" s="23"/>
      <c r="DB31" s="53"/>
      <c r="DC31" s="31"/>
      <c r="DD31" s="57"/>
    </row>
    <row r="32" spans="1:108" ht="13.5" thickTop="1">
      <c r="A32" s="8"/>
      <c r="B32" s="8"/>
      <c r="C32" s="8"/>
      <c r="D32" s="9"/>
      <c r="E32" s="8"/>
      <c r="F32" s="10"/>
      <c r="G32" s="8"/>
      <c r="H32" s="8"/>
      <c r="I32" s="8"/>
      <c r="J32" s="8"/>
      <c r="K32" s="8"/>
      <c r="L32" s="8"/>
      <c r="M32" s="9"/>
      <c r="N32" s="54"/>
      <c r="O32" s="55"/>
      <c r="P32" s="54"/>
      <c r="Q32" s="8"/>
      <c r="R32" s="8"/>
      <c r="S32" s="8"/>
      <c r="T32" s="8"/>
      <c r="U32" s="9"/>
      <c r="V32" s="54"/>
      <c r="W32" s="55"/>
      <c r="X32" s="54"/>
      <c r="Y32" s="8"/>
      <c r="Z32" s="8"/>
      <c r="AA32" s="8"/>
      <c r="AB32" s="9"/>
      <c r="AC32" s="54"/>
      <c r="AD32" s="55"/>
      <c r="AE32" s="54"/>
      <c r="AF32" s="8"/>
      <c r="AG32" s="8"/>
      <c r="AH32" s="8"/>
      <c r="AI32" s="9"/>
      <c r="AJ32" s="54"/>
      <c r="AK32" s="55"/>
      <c r="AL32" s="54"/>
      <c r="AM32" s="8"/>
      <c r="AN32" s="8"/>
      <c r="AO32" s="8"/>
      <c r="AP32" s="9"/>
      <c r="AQ32" s="54"/>
      <c r="AR32" s="55"/>
      <c r="AS32" s="54"/>
      <c r="AT32" s="8"/>
      <c r="AU32" s="8"/>
      <c r="AV32" s="8"/>
      <c r="AW32" s="9"/>
      <c r="AX32" s="54"/>
      <c r="AY32" s="55"/>
      <c r="AZ32" s="54"/>
      <c r="BA32" s="8"/>
      <c r="BB32" s="8"/>
      <c r="BC32" s="8"/>
      <c r="BD32" s="9"/>
      <c r="BE32" s="54"/>
      <c r="BF32" s="55"/>
      <c r="BG32" s="54"/>
      <c r="BH32" s="8"/>
      <c r="BI32" s="8"/>
      <c r="BJ32" s="8"/>
      <c r="BK32" s="9"/>
      <c r="BL32" s="54"/>
      <c r="BM32" s="55"/>
      <c r="BN32" s="54"/>
      <c r="BO32" s="8"/>
      <c r="BP32" s="8"/>
      <c r="BQ32" s="8"/>
      <c r="BR32" s="9"/>
      <c r="BS32" s="54"/>
      <c r="BT32" s="55"/>
      <c r="BU32" s="54"/>
      <c r="BV32" s="8"/>
      <c r="BW32" s="8"/>
      <c r="BX32" s="8"/>
      <c r="BY32" s="9"/>
      <c r="BZ32" s="54"/>
      <c r="CA32" s="55"/>
      <c r="CB32" s="54"/>
      <c r="CC32" s="8"/>
      <c r="CD32" s="8"/>
      <c r="CE32" s="8"/>
      <c r="CF32" s="9"/>
      <c r="CG32" s="54"/>
      <c r="CH32" s="55"/>
      <c r="CI32" s="54"/>
      <c r="CJ32" s="8"/>
      <c r="CK32" s="8"/>
      <c r="CL32" s="8"/>
      <c r="CM32" s="9"/>
      <c r="CN32" s="54"/>
      <c r="CO32" s="55"/>
      <c r="CP32" s="54"/>
      <c r="CQ32" s="8"/>
      <c r="CR32" s="8"/>
      <c r="CS32" s="8"/>
      <c r="CT32" s="9"/>
      <c r="CU32" s="54"/>
      <c r="CV32" s="55"/>
      <c r="CW32" s="54"/>
      <c r="CX32" s="8"/>
      <c r="CY32" s="8"/>
      <c r="CZ32" s="8"/>
      <c r="DA32" s="9"/>
      <c r="DB32" s="54"/>
      <c r="DC32" s="55"/>
      <c r="DD32" s="54"/>
    </row>
    <row r="33" spans="1:108" ht="12.75">
      <c r="A33" s="8"/>
      <c r="B33" s="8"/>
      <c r="C33" s="8"/>
      <c r="D33" s="9"/>
      <c r="E33" s="8"/>
      <c r="F33" s="10"/>
      <c r="G33" s="8"/>
      <c r="H33" s="8"/>
      <c r="I33" s="8"/>
      <c r="J33" s="8"/>
      <c r="K33" s="8"/>
      <c r="L33" s="8"/>
      <c r="M33" s="9"/>
      <c r="N33" s="8"/>
      <c r="O33" s="10"/>
      <c r="P33" s="8"/>
      <c r="Q33" s="8"/>
      <c r="R33" s="8"/>
      <c r="S33" s="8"/>
      <c r="T33" s="8"/>
      <c r="U33" s="9"/>
      <c r="V33" s="8"/>
      <c r="W33" s="10"/>
      <c r="X33" s="8"/>
      <c r="Y33" s="8"/>
      <c r="Z33" s="8"/>
      <c r="AA33" s="8"/>
      <c r="AB33" s="9"/>
      <c r="AC33" s="8"/>
      <c r="AD33" s="10"/>
      <c r="AE33" s="8"/>
      <c r="AF33" s="8"/>
      <c r="AG33" s="8"/>
      <c r="AH33" s="8"/>
      <c r="AI33" s="9"/>
      <c r="AJ33" s="8"/>
      <c r="AK33" s="10"/>
      <c r="AL33" s="8"/>
      <c r="AM33" s="8"/>
      <c r="AN33" s="8"/>
      <c r="AO33" s="8"/>
      <c r="AP33" s="9"/>
      <c r="AQ33" s="8"/>
      <c r="AR33" s="10"/>
      <c r="AS33" s="8"/>
      <c r="AT33" s="8"/>
      <c r="AU33" s="8"/>
      <c r="AV33" s="8"/>
      <c r="AW33" s="9"/>
      <c r="AX33" s="8"/>
      <c r="AY33" s="10"/>
      <c r="AZ33" s="8"/>
      <c r="BA33" s="8"/>
      <c r="BB33" s="8"/>
      <c r="BC33" s="8"/>
      <c r="BD33" s="9"/>
      <c r="BE33" s="8"/>
      <c r="BF33" s="10"/>
      <c r="BG33" s="8"/>
      <c r="BH33" s="8"/>
      <c r="BI33" s="8"/>
      <c r="BJ33" s="8"/>
      <c r="BK33" s="9"/>
      <c r="BL33" s="8"/>
      <c r="BM33" s="10"/>
      <c r="BN33" s="8"/>
      <c r="BO33" s="8"/>
      <c r="BP33" s="8"/>
      <c r="BQ33" s="8"/>
      <c r="BR33" s="9"/>
      <c r="BS33" s="8"/>
      <c r="BT33" s="10"/>
      <c r="BU33" s="8"/>
      <c r="BV33" s="8"/>
      <c r="BW33" s="8"/>
      <c r="BX33" s="8"/>
      <c r="BY33" s="9"/>
      <c r="BZ33" s="8"/>
      <c r="CA33" s="10"/>
      <c r="CB33" s="8"/>
      <c r="CC33" s="8"/>
      <c r="CD33" s="8"/>
      <c r="CE33" s="8"/>
      <c r="CF33" s="9"/>
      <c r="CG33" s="8"/>
      <c r="CH33" s="10"/>
      <c r="CI33" s="8"/>
      <c r="CJ33" s="8"/>
      <c r="CK33" s="8"/>
      <c r="CL33" s="8"/>
      <c r="CM33" s="9"/>
      <c r="CN33" s="8"/>
      <c r="CO33" s="10"/>
      <c r="CP33" s="8"/>
      <c r="CQ33" s="8"/>
      <c r="CR33" s="8"/>
      <c r="CS33" s="8"/>
      <c r="CT33" s="9"/>
      <c r="CU33" s="8"/>
      <c r="CV33" s="10"/>
      <c r="CW33" s="8"/>
      <c r="CX33" s="8"/>
      <c r="CY33" s="8"/>
      <c r="CZ33" s="8"/>
      <c r="DA33" s="9"/>
      <c r="DB33" s="8"/>
      <c r="DC33" s="10"/>
      <c r="DD33" s="8"/>
    </row>
    <row r="34" spans="1:108" ht="12.75">
      <c r="A34" s="19" t="s">
        <v>111</v>
      </c>
      <c r="B34" s="8"/>
      <c r="C34" s="8"/>
      <c r="D34" s="9"/>
      <c r="E34" s="8"/>
      <c r="F34" s="10"/>
      <c r="G34" s="8"/>
      <c r="H34" s="8"/>
      <c r="I34" s="8"/>
      <c r="J34" s="19" t="s">
        <v>111</v>
      </c>
      <c r="K34" s="8"/>
      <c r="L34" s="8"/>
      <c r="M34" s="9"/>
      <c r="N34" s="8"/>
      <c r="O34" s="10"/>
      <c r="P34" s="8"/>
      <c r="Q34" s="8"/>
      <c r="R34" s="19" t="s">
        <v>111</v>
      </c>
      <c r="S34" s="8"/>
      <c r="T34" s="8"/>
      <c r="U34" s="9"/>
      <c r="V34" s="8"/>
      <c r="W34" s="10"/>
      <c r="X34" s="8"/>
      <c r="Y34" s="19" t="s">
        <v>111</v>
      </c>
      <c r="Z34" s="8"/>
      <c r="AA34" s="8"/>
      <c r="AB34" s="9"/>
      <c r="AC34" s="8"/>
      <c r="AD34" s="10"/>
      <c r="AE34" s="8"/>
      <c r="AF34" s="19" t="s">
        <v>111</v>
      </c>
      <c r="AG34" s="8"/>
      <c r="AH34" s="8"/>
      <c r="AI34" s="9"/>
      <c r="AJ34" s="8"/>
      <c r="AK34" s="10"/>
      <c r="AL34" s="8"/>
      <c r="AM34" s="19" t="s">
        <v>111</v>
      </c>
      <c r="AN34" s="8"/>
      <c r="AO34" s="8"/>
      <c r="AP34" s="9"/>
      <c r="AQ34" s="8"/>
      <c r="AR34" s="10"/>
      <c r="AS34" s="8"/>
      <c r="AT34" s="19" t="s">
        <v>111</v>
      </c>
      <c r="AU34" s="8"/>
      <c r="AV34" s="8"/>
      <c r="AW34" s="9"/>
      <c r="AX34" s="8"/>
      <c r="AY34" s="10"/>
      <c r="AZ34" s="8"/>
      <c r="BA34" s="19" t="s">
        <v>111</v>
      </c>
      <c r="BB34" s="8"/>
      <c r="BC34" s="8"/>
      <c r="BD34" s="9"/>
      <c r="BE34" s="8"/>
      <c r="BF34" s="10"/>
      <c r="BG34" s="8"/>
      <c r="BH34" s="19" t="s">
        <v>111</v>
      </c>
      <c r="BI34" s="8"/>
      <c r="BJ34" s="8"/>
      <c r="BK34" s="9"/>
      <c r="BL34" s="8"/>
      <c r="BM34" s="10"/>
      <c r="BN34" s="8"/>
      <c r="BO34" s="19" t="s">
        <v>111</v>
      </c>
      <c r="BP34" s="8"/>
      <c r="BQ34" s="8"/>
      <c r="BR34" s="9"/>
      <c r="BS34" s="8"/>
      <c r="BT34" s="10"/>
      <c r="BU34" s="8"/>
      <c r="BV34" s="19" t="s">
        <v>111</v>
      </c>
      <c r="BW34" s="8"/>
      <c r="BX34" s="8"/>
      <c r="BY34" s="9"/>
      <c r="BZ34" s="8"/>
      <c r="CA34" s="10"/>
      <c r="CB34" s="8"/>
      <c r="CC34" s="19" t="s">
        <v>111</v>
      </c>
      <c r="CD34" s="8"/>
      <c r="CE34" s="8"/>
      <c r="CF34" s="9"/>
      <c r="CG34" s="8"/>
      <c r="CH34" s="10"/>
      <c r="CI34" s="8"/>
      <c r="CJ34" s="19" t="s">
        <v>111</v>
      </c>
      <c r="CK34" s="8"/>
      <c r="CL34" s="8"/>
      <c r="CM34" s="9"/>
      <c r="CN34" s="8"/>
      <c r="CO34" s="10"/>
      <c r="CP34" s="8"/>
      <c r="CQ34" s="19" t="s">
        <v>111</v>
      </c>
      <c r="CR34" s="8"/>
      <c r="CS34" s="8"/>
      <c r="CT34" s="9"/>
      <c r="CU34" s="8"/>
      <c r="CV34" s="10"/>
      <c r="CW34" s="8"/>
      <c r="CX34" s="19" t="s">
        <v>111</v>
      </c>
      <c r="CY34" s="8"/>
      <c r="CZ34" s="8"/>
      <c r="DA34" s="9"/>
      <c r="DB34" s="8"/>
      <c r="DC34" s="10"/>
      <c r="DD34" s="8"/>
    </row>
    <row r="35" spans="1:108" ht="12.75">
      <c r="A35" s="19"/>
      <c r="B35" s="8"/>
      <c r="C35" s="8"/>
      <c r="D35" s="9"/>
      <c r="E35" s="8"/>
      <c r="F35" s="10"/>
      <c r="G35" s="8"/>
      <c r="H35" s="8"/>
      <c r="I35" s="8"/>
      <c r="J35" s="19"/>
      <c r="K35" s="8"/>
      <c r="L35" s="8"/>
      <c r="M35" s="9"/>
      <c r="N35" s="8"/>
      <c r="O35" s="10"/>
      <c r="P35" s="8"/>
      <c r="Q35" s="8"/>
      <c r="R35" s="19"/>
      <c r="S35" s="8"/>
      <c r="T35" s="8"/>
      <c r="U35" s="9"/>
      <c r="V35" s="8"/>
      <c r="W35" s="10"/>
      <c r="X35" s="8"/>
      <c r="Y35" s="19"/>
      <c r="Z35" s="8"/>
      <c r="AA35" s="8"/>
      <c r="AB35" s="9"/>
      <c r="AC35" s="8"/>
      <c r="AD35" s="10"/>
      <c r="AE35" s="8"/>
      <c r="AF35" s="19"/>
      <c r="AG35" s="8"/>
      <c r="AH35" s="8"/>
      <c r="AI35" s="9"/>
      <c r="AJ35" s="8"/>
      <c r="AK35" s="10"/>
      <c r="AL35" s="8"/>
      <c r="AM35" s="19"/>
      <c r="AN35" s="8"/>
      <c r="AO35" s="8"/>
      <c r="AP35" s="9"/>
      <c r="AQ35" s="8"/>
      <c r="AR35" s="10"/>
      <c r="AS35" s="8"/>
      <c r="AT35" s="19"/>
      <c r="AU35" s="8"/>
      <c r="AV35" s="8"/>
      <c r="AW35" s="9"/>
      <c r="AX35" s="8"/>
      <c r="AY35" s="10"/>
      <c r="AZ35" s="8"/>
      <c r="BA35" s="19"/>
      <c r="BB35" s="8"/>
      <c r="BC35" s="8"/>
      <c r="BD35" s="9"/>
      <c r="BE35" s="8"/>
      <c r="BF35" s="10"/>
      <c r="BG35" s="8"/>
      <c r="BH35" s="19"/>
      <c r="BI35" s="8"/>
      <c r="BJ35" s="8"/>
      <c r="BK35" s="9"/>
      <c r="BL35" s="8"/>
      <c r="BM35" s="10"/>
      <c r="BN35" s="8"/>
      <c r="BO35" s="19"/>
      <c r="BP35" s="8"/>
      <c r="BQ35" s="8"/>
      <c r="BR35" s="9"/>
      <c r="BS35" s="8"/>
      <c r="BT35" s="10"/>
      <c r="BU35" s="8"/>
      <c r="BV35" s="19"/>
      <c r="BW35" s="8"/>
      <c r="BX35" s="8"/>
      <c r="BY35" s="9"/>
      <c r="BZ35" s="8"/>
      <c r="CA35" s="10"/>
      <c r="CB35" s="8"/>
      <c r="CC35" s="19"/>
      <c r="CD35" s="8"/>
      <c r="CE35" s="8"/>
      <c r="CF35" s="9"/>
      <c r="CG35" s="8"/>
      <c r="CH35" s="10"/>
      <c r="CI35" s="8"/>
      <c r="CJ35" s="19"/>
      <c r="CK35" s="8"/>
      <c r="CL35" s="8"/>
      <c r="CM35" s="9"/>
      <c r="CN35" s="8"/>
      <c r="CO35" s="10"/>
      <c r="CP35" s="8"/>
      <c r="CQ35" s="19"/>
      <c r="CR35" s="8"/>
      <c r="CS35" s="8"/>
      <c r="CT35" s="9"/>
      <c r="CU35" s="8"/>
      <c r="CV35" s="10"/>
      <c r="CW35" s="8"/>
      <c r="CX35" s="19"/>
      <c r="CY35" s="8"/>
      <c r="CZ35" s="8"/>
      <c r="DA35" s="9"/>
      <c r="DB35" s="8"/>
      <c r="DC35" s="10"/>
      <c r="DD35" s="8"/>
    </row>
    <row r="36" spans="1:108" s="29" customFormat="1" ht="12.75">
      <c r="A36" s="25"/>
      <c r="B36" s="26"/>
      <c r="C36" s="26"/>
      <c r="D36" s="27" t="s">
        <v>99</v>
      </c>
      <c r="E36" s="26" t="s">
        <v>100</v>
      </c>
      <c r="F36" s="28" t="s">
        <v>101</v>
      </c>
      <c r="G36" s="26" t="s">
        <v>100</v>
      </c>
      <c r="H36" s="25"/>
      <c r="I36" s="25"/>
      <c r="J36" s="27" t="s">
        <v>99</v>
      </c>
      <c r="K36" s="26" t="s">
        <v>100</v>
      </c>
      <c r="L36" s="28" t="s">
        <v>101</v>
      </c>
      <c r="M36" s="26" t="s">
        <v>100</v>
      </c>
      <c r="N36" s="64"/>
      <c r="O36" s="65"/>
      <c r="P36" s="64"/>
      <c r="Q36" s="8"/>
      <c r="R36" s="27" t="s">
        <v>99</v>
      </c>
      <c r="S36" s="26" t="s">
        <v>100</v>
      </c>
      <c r="T36" s="28" t="s">
        <v>101</v>
      </c>
      <c r="U36" s="44" t="s">
        <v>100</v>
      </c>
      <c r="V36" s="64"/>
      <c r="W36" s="65"/>
      <c r="X36" s="64"/>
      <c r="Y36" s="27" t="s">
        <v>99</v>
      </c>
      <c r="Z36" s="26" t="s">
        <v>100</v>
      </c>
      <c r="AA36" s="28" t="s">
        <v>101</v>
      </c>
      <c r="AB36" s="44" t="s">
        <v>100</v>
      </c>
      <c r="AC36" s="64"/>
      <c r="AD36" s="65"/>
      <c r="AE36" s="64"/>
      <c r="AF36" s="27" t="s">
        <v>99</v>
      </c>
      <c r="AG36" s="26" t="s">
        <v>100</v>
      </c>
      <c r="AH36" s="28" t="s">
        <v>101</v>
      </c>
      <c r="AI36" s="44" t="s">
        <v>100</v>
      </c>
      <c r="AJ36" s="64"/>
      <c r="AK36" s="65"/>
      <c r="AL36" s="64"/>
      <c r="AM36" s="27" t="s">
        <v>99</v>
      </c>
      <c r="AN36" s="26" t="s">
        <v>100</v>
      </c>
      <c r="AO36" s="28" t="s">
        <v>101</v>
      </c>
      <c r="AP36" s="44" t="s">
        <v>100</v>
      </c>
      <c r="AQ36" s="64"/>
      <c r="AR36" s="65"/>
      <c r="AS36" s="64"/>
      <c r="AT36" s="27" t="s">
        <v>99</v>
      </c>
      <c r="AU36" s="26" t="s">
        <v>100</v>
      </c>
      <c r="AV36" s="28" t="s">
        <v>101</v>
      </c>
      <c r="AW36" s="44" t="s">
        <v>100</v>
      </c>
      <c r="AX36" s="64"/>
      <c r="AY36" s="65"/>
      <c r="AZ36" s="64"/>
      <c r="BA36" s="89" t="s">
        <v>99</v>
      </c>
      <c r="BB36" s="44" t="s">
        <v>100</v>
      </c>
      <c r="BC36" s="88" t="s">
        <v>101</v>
      </c>
      <c r="BD36" s="44" t="s">
        <v>100</v>
      </c>
      <c r="BE36" s="64"/>
      <c r="BF36" s="65"/>
      <c r="BG36" s="64"/>
      <c r="BH36" s="89" t="s">
        <v>99</v>
      </c>
      <c r="BI36" s="44" t="s">
        <v>100</v>
      </c>
      <c r="BJ36" s="88" t="s">
        <v>101</v>
      </c>
      <c r="BK36" s="44" t="s">
        <v>100</v>
      </c>
      <c r="BL36" s="64"/>
      <c r="BM36" s="65"/>
      <c r="BN36" s="64"/>
      <c r="BO36" s="89" t="s">
        <v>99</v>
      </c>
      <c r="BP36" s="44" t="s">
        <v>100</v>
      </c>
      <c r="BQ36" s="88" t="s">
        <v>101</v>
      </c>
      <c r="BR36" s="44" t="s">
        <v>100</v>
      </c>
      <c r="BS36" s="64"/>
      <c r="BT36" s="65"/>
      <c r="BU36" s="64"/>
      <c r="BV36" s="89" t="s">
        <v>99</v>
      </c>
      <c r="BW36" s="44" t="s">
        <v>100</v>
      </c>
      <c r="BX36" s="88" t="s">
        <v>101</v>
      </c>
      <c r="BY36" s="44" t="s">
        <v>100</v>
      </c>
      <c r="BZ36" s="64"/>
      <c r="CA36" s="65"/>
      <c r="CB36" s="64"/>
      <c r="CC36" s="89" t="s">
        <v>99</v>
      </c>
      <c r="CD36" s="44" t="s">
        <v>100</v>
      </c>
      <c r="CE36" s="88" t="s">
        <v>101</v>
      </c>
      <c r="CF36" s="44" t="s">
        <v>100</v>
      </c>
      <c r="CG36" s="64"/>
      <c r="CH36" s="65"/>
      <c r="CI36" s="64"/>
      <c r="CJ36" s="89" t="s">
        <v>99</v>
      </c>
      <c r="CK36" s="44" t="s">
        <v>100</v>
      </c>
      <c r="CL36" s="88" t="s">
        <v>101</v>
      </c>
      <c r="CM36" s="44" t="s">
        <v>100</v>
      </c>
      <c r="CN36" s="64"/>
      <c r="CO36" s="65"/>
      <c r="CP36" s="64"/>
      <c r="CQ36" s="89" t="s">
        <v>99</v>
      </c>
      <c r="CR36" s="44" t="s">
        <v>100</v>
      </c>
      <c r="CS36" s="88" t="s">
        <v>101</v>
      </c>
      <c r="CT36" s="44" t="s">
        <v>100</v>
      </c>
      <c r="CU36" s="64"/>
      <c r="CV36" s="65"/>
      <c r="CW36" s="64"/>
      <c r="CX36" s="89" t="s">
        <v>99</v>
      </c>
      <c r="CY36" s="44" t="s">
        <v>100</v>
      </c>
      <c r="CZ36" s="88" t="s">
        <v>101</v>
      </c>
      <c r="DA36" s="44" t="s">
        <v>100</v>
      </c>
      <c r="DB36" s="64"/>
      <c r="DC36" s="65"/>
      <c r="DD36" s="64"/>
    </row>
    <row r="37" spans="1:108" ht="12.75">
      <c r="A37" s="12"/>
      <c r="B37" s="8"/>
      <c r="C37" s="8"/>
      <c r="D37" s="9"/>
      <c r="E37" s="8"/>
      <c r="F37" s="10"/>
      <c r="G37" s="8"/>
      <c r="H37" s="8"/>
      <c r="I37" s="8"/>
      <c r="J37" s="9"/>
      <c r="K37" s="8"/>
      <c r="L37" s="10"/>
      <c r="M37" s="8"/>
      <c r="N37" s="54"/>
      <c r="O37" s="55"/>
      <c r="P37" s="54"/>
      <c r="Q37" s="8"/>
      <c r="R37" s="9"/>
      <c r="S37" s="8"/>
      <c r="T37" s="10"/>
      <c r="U37" s="8"/>
      <c r="V37" s="54"/>
      <c r="W37" s="55"/>
      <c r="X37" s="54"/>
      <c r="Y37" s="9"/>
      <c r="Z37" s="8"/>
      <c r="AA37" s="10"/>
      <c r="AB37" s="8"/>
      <c r="AC37" s="54"/>
      <c r="AD37" s="55"/>
      <c r="AE37" s="54"/>
      <c r="AF37" s="9"/>
      <c r="AG37" s="8"/>
      <c r="AH37" s="10"/>
      <c r="AI37" s="8"/>
      <c r="AJ37" s="54"/>
      <c r="AK37" s="55"/>
      <c r="AL37" s="54"/>
      <c r="AM37" s="9"/>
      <c r="AN37" s="8"/>
      <c r="AO37" s="10"/>
      <c r="AP37" s="8"/>
      <c r="AQ37" s="54"/>
      <c r="AR37" s="55"/>
      <c r="AS37" s="54"/>
      <c r="AT37" s="9"/>
      <c r="AU37" s="8"/>
      <c r="AV37" s="10"/>
      <c r="AW37" s="8"/>
      <c r="AX37" s="54"/>
      <c r="AY37" s="55"/>
      <c r="AZ37" s="54"/>
      <c r="BA37" s="9"/>
      <c r="BB37" s="8"/>
      <c r="BC37" s="10"/>
      <c r="BD37" s="8"/>
      <c r="BE37" s="54"/>
      <c r="BF37" s="55"/>
      <c r="BG37" s="54"/>
      <c r="BH37" s="9"/>
      <c r="BI37" s="8"/>
      <c r="BJ37" s="10"/>
      <c r="BK37" s="8"/>
      <c r="BL37" s="54"/>
      <c r="BM37" s="55"/>
      <c r="BN37" s="54"/>
      <c r="BO37" s="9"/>
      <c r="BP37" s="8"/>
      <c r="BQ37" s="10"/>
      <c r="BR37" s="8"/>
      <c r="BS37" s="54"/>
      <c r="BT37" s="55"/>
      <c r="BU37" s="54"/>
      <c r="BV37" s="9"/>
      <c r="BW37" s="8"/>
      <c r="BX37" s="10"/>
      <c r="BY37" s="8"/>
      <c r="BZ37" s="54"/>
      <c r="CA37" s="55"/>
      <c r="CB37" s="54"/>
      <c r="CC37" s="9"/>
      <c r="CD37" s="8"/>
      <c r="CE37" s="10"/>
      <c r="CF37" s="8"/>
      <c r="CG37" s="54"/>
      <c r="CH37" s="55"/>
      <c r="CI37" s="54"/>
      <c r="CJ37" s="9"/>
      <c r="CK37" s="8"/>
      <c r="CL37" s="10"/>
      <c r="CM37" s="8"/>
      <c r="CN37" s="54"/>
      <c r="CO37" s="55"/>
      <c r="CP37" s="54"/>
      <c r="CQ37" s="9"/>
      <c r="CR37" s="8"/>
      <c r="CS37" s="10"/>
      <c r="CT37" s="8"/>
      <c r="CU37" s="54"/>
      <c r="CV37" s="55"/>
      <c r="CW37" s="54"/>
      <c r="CX37" s="9"/>
      <c r="CY37" s="8"/>
      <c r="CZ37" s="10"/>
      <c r="DA37" s="8"/>
      <c r="DB37" s="54"/>
      <c r="DC37" s="55"/>
      <c r="DD37" s="54"/>
    </row>
    <row r="38" spans="1:108" ht="12.75">
      <c r="A38" s="8" t="s">
        <v>31</v>
      </c>
      <c r="B38" s="8"/>
      <c r="C38" s="8"/>
      <c r="D38" s="9">
        <v>6113563.49</v>
      </c>
      <c r="E38" s="14">
        <f>+D38/D52</f>
        <v>0.06688126487079592</v>
      </c>
      <c r="F38" s="10">
        <v>1268</v>
      </c>
      <c r="G38" s="14">
        <f>+F38/F52</f>
        <v>0.06677901832736464</v>
      </c>
      <c r="H38" s="8"/>
      <c r="I38" s="8"/>
      <c r="J38" s="9">
        <v>5661414.86999999</v>
      </c>
      <c r="K38" s="14">
        <f>+J38/J52</f>
        <v>0.0680341355642626</v>
      </c>
      <c r="L38" s="10">
        <v>1038</v>
      </c>
      <c r="M38" s="14">
        <f>+L38/L52</f>
        <v>0.06835693118208759</v>
      </c>
      <c r="N38" s="56"/>
      <c r="O38" s="55"/>
      <c r="P38" s="56"/>
      <c r="Q38" s="8"/>
      <c r="R38" s="9">
        <v>5383849.020000003</v>
      </c>
      <c r="S38" s="14">
        <v>0.06854515355478649</v>
      </c>
      <c r="T38" s="10">
        <v>971</v>
      </c>
      <c r="U38" s="14">
        <v>0.06758543885292685</v>
      </c>
      <c r="V38" s="56"/>
      <c r="W38" s="55"/>
      <c r="X38" s="56"/>
      <c r="Y38" s="9">
        <v>5764276.759999997</v>
      </c>
      <c r="Z38" s="14">
        <v>0.07124866263432533</v>
      </c>
      <c r="AA38" s="10">
        <v>995</v>
      </c>
      <c r="AB38" s="14">
        <v>0.06847900894700619</v>
      </c>
      <c r="AC38" s="56"/>
      <c r="AD38" s="55"/>
      <c r="AE38" s="56"/>
      <c r="AF38" s="9">
        <v>6181652.250000001</v>
      </c>
      <c r="AG38" s="14">
        <v>0.07699685444724835</v>
      </c>
      <c r="AH38" s="10">
        <v>1001</v>
      </c>
      <c r="AI38" s="14">
        <v>0.07045326576576577</v>
      </c>
      <c r="AJ38" s="56"/>
      <c r="AK38" s="55"/>
      <c r="AL38" s="56"/>
      <c r="AM38" s="9">
        <v>6245931.1299999915</v>
      </c>
      <c r="AN38" s="14">
        <v>0.07651450686038609</v>
      </c>
      <c r="AO38" s="10">
        <v>987</v>
      </c>
      <c r="AP38" s="14">
        <v>0.06971816062725153</v>
      </c>
      <c r="AQ38" s="56"/>
      <c r="AR38" s="55"/>
      <c r="AS38" s="56"/>
      <c r="AT38" s="9">
        <v>6231663.39</v>
      </c>
      <c r="AU38" s="14">
        <v>0.07754210449767836</v>
      </c>
      <c r="AV38" s="10">
        <v>964</v>
      </c>
      <c r="AW38" s="14">
        <v>0.06993615786419037</v>
      </c>
      <c r="AX38" s="56"/>
      <c r="AY38" s="55"/>
      <c r="AZ38" s="56"/>
      <c r="BA38" s="9">
        <v>6662706.509999988</v>
      </c>
      <c r="BB38" s="14">
        <v>0.0798736905997691</v>
      </c>
      <c r="BC38" s="10">
        <v>999</v>
      </c>
      <c r="BD38" s="14">
        <v>0.0713520462824084</v>
      </c>
      <c r="BE38" s="56"/>
      <c r="BF38" s="55"/>
      <c r="BG38" s="56"/>
      <c r="BH38" s="9">
        <v>6111086.670000002</v>
      </c>
      <c r="BI38" s="14">
        <v>0.08013256763015884</v>
      </c>
      <c r="BJ38" s="10">
        <v>914</v>
      </c>
      <c r="BK38" s="14">
        <v>0.07449669899747331</v>
      </c>
      <c r="BL38" s="56"/>
      <c r="BM38" s="55"/>
      <c r="BN38" s="56"/>
      <c r="BO38" s="9">
        <v>5592473.329999998</v>
      </c>
      <c r="BP38" s="14">
        <f>+BO38/$BO$52</f>
        <v>0.07988404321807081</v>
      </c>
      <c r="BQ38" s="10">
        <v>842</v>
      </c>
      <c r="BR38" s="14">
        <f>+BQ38/$BQ$52</f>
        <v>0.07423080313849952</v>
      </c>
      <c r="BS38" s="56"/>
      <c r="BT38" s="55"/>
      <c r="BU38" s="56"/>
      <c r="BV38" s="9">
        <v>5066205.72</v>
      </c>
      <c r="BW38" s="14">
        <v>0.07899426386845754</v>
      </c>
      <c r="BX38" s="10">
        <v>769</v>
      </c>
      <c r="BY38" s="14">
        <f>+BX38/$BX$52</f>
        <v>0.07318930236984868</v>
      </c>
      <c r="BZ38" s="56"/>
      <c r="CA38" s="55"/>
      <c r="CB38" s="56"/>
      <c r="CC38" s="9">
        <v>4663487.89</v>
      </c>
      <c r="CD38" s="14">
        <v>0.07885078699759661</v>
      </c>
      <c r="CE38" s="10">
        <v>723</v>
      </c>
      <c r="CF38" s="14">
        <v>0.07352791620054917</v>
      </c>
      <c r="CG38" s="56"/>
      <c r="CH38" s="55"/>
      <c r="CI38" s="56"/>
      <c r="CJ38" s="9">
        <v>4139899.14</v>
      </c>
      <c r="CK38" s="14">
        <v>0.07611225044896841</v>
      </c>
      <c r="CL38" s="10">
        <v>664</v>
      </c>
      <c r="CM38" s="14">
        <v>0.07282298749725817</v>
      </c>
      <c r="CN38" s="56"/>
      <c r="CO38" s="55"/>
      <c r="CP38" s="56"/>
      <c r="CQ38" s="9">
        <v>3862272.82</v>
      </c>
      <c r="CR38" s="14">
        <v>0.07727901895613705</v>
      </c>
      <c r="CS38" s="10">
        <v>608</v>
      </c>
      <c r="CT38" s="14">
        <v>0.07267511355486493</v>
      </c>
      <c r="CU38" s="56"/>
      <c r="CV38" s="55"/>
      <c r="CW38" s="56"/>
      <c r="CX38" s="9">
        <v>3559009.39</v>
      </c>
      <c r="CY38" s="14">
        <v>0.0767906524752478</v>
      </c>
      <c r="CZ38" s="10">
        <v>563</v>
      </c>
      <c r="DA38" s="14">
        <v>0.07205938819915525</v>
      </c>
      <c r="DB38" s="56"/>
      <c r="DC38" s="55"/>
      <c r="DD38" s="56"/>
    </row>
    <row r="39" spans="1:108" ht="12.75">
      <c r="A39" s="8" t="s">
        <v>32</v>
      </c>
      <c r="B39" s="8"/>
      <c r="C39" s="8"/>
      <c r="D39" s="9">
        <v>11774640.890000004</v>
      </c>
      <c r="E39" s="14">
        <f>+D39/$D$52</f>
        <v>0.1288124147906076</v>
      </c>
      <c r="F39" s="10">
        <v>2305</v>
      </c>
      <c r="G39" s="14">
        <f>+F39/$F$52</f>
        <v>0.12139245839477565</v>
      </c>
      <c r="H39" s="8"/>
      <c r="I39" s="8"/>
      <c r="J39" s="9">
        <v>10800044.969999993</v>
      </c>
      <c r="K39" s="14">
        <f>+J39/$J$52</f>
        <v>0.1297858822328478</v>
      </c>
      <c r="L39" s="10">
        <v>1860</v>
      </c>
      <c r="M39" s="14">
        <f>+L39/$L$52</f>
        <v>0.12248929864998354</v>
      </c>
      <c r="N39" s="56"/>
      <c r="O39" s="55"/>
      <c r="P39" s="56"/>
      <c r="Q39" s="8"/>
      <c r="R39" s="9">
        <v>10202605.960000014</v>
      </c>
      <c r="S39" s="14">
        <v>0.1298957659453794</v>
      </c>
      <c r="T39" s="10">
        <v>1763</v>
      </c>
      <c r="U39" s="14">
        <v>0.12271177002853761</v>
      </c>
      <c r="V39" s="56"/>
      <c r="W39" s="55"/>
      <c r="X39" s="56"/>
      <c r="Y39" s="9">
        <v>10928550.880000014</v>
      </c>
      <c r="Z39" s="14">
        <v>0.1350810634448407</v>
      </c>
      <c r="AA39" s="10">
        <v>1827</v>
      </c>
      <c r="AB39" s="14">
        <v>0.12573984858912596</v>
      </c>
      <c r="AC39" s="56"/>
      <c r="AD39" s="55"/>
      <c r="AE39" s="56"/>
      <c r="AF39" s="9">
        <v>10663686.069999993</v>
      </c>
      <c r="AG39" s="14">
        <v>0.13282375827642828</v>
      </c>
      <c r="AH39" s="10">
        <v>1746</v>
      </c>
      <c r="AI39" s="14">
        <v>0.12288851351351351</v>
      </c>
      <c r="AJ39" s="56"/>
      <c r="AK39" s="55"/>
      <c r="AL39" s="56"/>
      <c r="AM39" s="9">
        <v>11025621.230000006</v>
      </c>
      <c r="AN39" s="14">
        <v>0.1350671266916219</v>
      </c>
      <c r="AO39" s="10">
        <v>1762</v>
      </c>
      <c r="AP39" s="14">
        <v>0.12446139718866991</v>
      </c>
      <c r="AQ39" s="56"/>
      <c r="AR39" s="55"/>
      <c r="AS39" s="56"/>
      <c r="AT39" s="9">
        <v>10833111.430000013</v>
      </c>
      <c r="AU39" s="14">
        <v>0.13479904256190173</v>
      </c>
      <c r="AV39" s="10">
        <v>1693</v>
      </c>
      <c r="AW39" s="14">
        <v>0.12282356355194428</v>
      </c>
      <c r="AX39" s="56"/>
      <c r="AY39" s="55"/>
      <c r="AZ39" s="56"/>
      <c r="BA39" s="9">
        <v>11292876.78999999</v>
      </c>
      <c r="BB39" s="14">
        <v>0.13538098149032451</v>
      </c>
      <c r="BC39" s="10">
        <v>1714</v>
      </c>
      <c r="BD39" s="14">
        <v>0.1224198271552032</v>
      </c>
      <c r="BE39" s="56"/>
      <c r="BF39" s="55"/>
      <c r="BG39" s="56"/>
      <c r="BH39" s="9">
        <v>10354033.299999995</v>
      </c>
      <c r="BI39" s="14">
        <v>0.13576886050892256</v>
      </c>
      <c r="BJ39" s="10">
        <v>1575</v>
      </c>
      <c r="BK39" s="14">
        <v>0.1283723204825169</v>
      </c>
      <c r="BL39" s="56"/>
      <c r="BM39" s="55"/>
      <c r="BN39" s="56"/>
      <c r="BO39" s="9">
        <v>9502678.380000005</v>
      </c>
      <c r="BP39" s="14">
        <f aca="true" t="shared" si="4" ref="BP39:BP50">+BO39/$BO$52</f>
        <v>0.13573821913878448</v>
      </c>
      <c r="BQ39" s="10">
        <v>1495</v>
      </c>
      <c r="BR39" s="14">
        <f aca="true" t="shared" si="5" ref="BR39:BR50">+BQ39/$BQ$52</f>
        <v>0.13179934761526932</v>
      </c>
      <c r="BS39" s="56"/>
      <c r="BT39" s="55"/>
      <c r="BU39" s="56"/>
      <c r="BV39" s="9">
        <v>8614091.050000004</v>
      </c>
      <c r="BW39" s="14">
        <v>0.13431428153506153</v>
      </c>
      <c r="BX39" s="10">
        <v>1339</v>
      </c>
      <c r="BY39" s="14">
        <f aca="true" t="shared" si="6" ref="BY39:BY50">+BX39/$BX$52</f>
        <v>0.12743885029028268</v>
      </c>
      <c r="BZ39" s="56"/>
      <c r="CA39" s="55"/>
      <c r="CB39" s="56"/>
      <c r="CC39" s="9">
        <v>7962277.410000013</v>
      </c>
      <c r="CD39" s="14">
        <v>0.13462709776044599</v>
      </c>
      <c r="CE39" s="10">
        <v>1261</v>
      </c>
      <c r="CF39" s="14">
        <v>0.1282416353096715</v>
      </c>
      <c r="CG39" s="56"/>
      <c r="CH39" s="55"/>
      <c r="CI39" s="56"/>
      <c r="CJ39" s="9">
        <v>7297690.130000008</v>
      </c>
      <c r="CK39" s="14">
        <v>0.13416839398496203</v>
      </c>
      <c r="CL39" s="10">
        <v>1161</v>
      </c>
      <c r="CM39" s="14">
        <v>0.12733055494626014</v>
      </c>
      <c r="CN39" s="56"/>
      <c r="CO39" s="55"/>
      <c r="CP39" s="56"/>
      <c r="CQ39" s="9">
        <v>6664995.630000004</v>
      </c>
      <c r="CR39" s="14">
        <v>0.13335783038582485</v>
      </c>
      <c r="CS39" s="10">
        <v>1070</v>
      </c>
      <c r="CT39" s="14">
        <v>0.12789863734162085</v>
      </c>
      <c r="CU39" s="56"/>
      <c r="CV39" s="55"/>
      <c r="CW39" s="56"/>
      <c r="CX39" s="9">
        <v>6156651.569999999</v>
      </c>
      <c r="CY39" s="14">
        <v>0.13283845006181866</v>
      </c>
      <c r="CZ39" s="10">
        <v>1003</v>
      </c>
      <c r="DA39" s="14">
        <v>0.1283757839498272</v>
      </c>
      <c r="DB39" s="56"/>
      <c r="DC39" s="55"/>
      <c r="DD39" s="56"/>
    </row>
    <row r="40" spans="1:108" ht="12.75">
      <c r="A40" s="8" t="s">
        <v>33</v>
      </c>
      <c r="B40" s="8"/>
      <c r="C40" s="8"/>
      <c r="D40" s="9">
        <v>11926161.719999999</v>
      </c>
      <c r="E40" s="14">
        <f aca="true" t="shared" si="7" ref="E40:E50">+D40/$D$52</f>
        <v>0.13047002491950352</v>
      </c>
      <c r="F40" s="10">
        <v>2330</v>
      </c>
      <c r="G40" s="14">
        <f aca="true" t="shared" si="8" ref="G40:G50">+F40/$F$52</f>
        <v>0.12270907941858016</v>
      </c>
      <c r="H40" s="8"/>
      <c r="I40" s="8"/>
      <c r="J40" s="9">
        <v>10960040.449999994</v>
      </c>
      <c r="K40" s="14">
        <f aca="true" t="shared" si="9" ref="K40:K50">+J40/$J$52</f>
        <v>0.13170857372003592</v>
      </c>
      <c r="L40" s="10">
        <v>1884</v>
      </c>
      <c r="M40" s="14">
        <f aca="true" t="shared" si="10" ref="M40:M50">+L40/$L$52</f>
        <v>0.12406980572933816</v>
      </c>
      <c r="N40" s="56"/>
      <c r="O40" s="55"/>
      <c r="P40" s="56"/>
      <c r="Q40" s="8"/>
      <c r="R40" s="9">
        <v>10481861.860000022</v>
      </c>
      <c r="S40" s="14">
        <v>0.13345114769465824</v>
      </c>
      <c r="T40" s="10">
        <v>1776</v>
      </c>
      <c r="U40" s="14">
        <v>0.12361662142409689</v>
      </c>
      <c r="V40" s="56"/>
      <c r="W40" s="55"/>
      <c r="X40" s="56"/>
      <c r="Y40" s="9">
        <v>10513631.31999998</v>
      </c>
      <c r="Z40" s="14">
        <v>0.12995249918922275</v>
      </c>
      <c r="AA40" s="10">
        <v>1762</v>
      </c>
      <c r="AB40" s="14">
        <v>0.12126634549208534</v>
      </c>
      <c r="AC40" s="56"/>
      <c r="AD40" s="55"/>
      <c r="AE40" s="56"/>
      <c r="AF40" s="9">
        <v>10234617.140000004</v>
      </c>
      <c r="AG40" s="14">
        <v>0.12747940103746427</v>
      </c>
      <c r="AH40" s="10">
        <v>1702</v>
      </c>
      <c r="AI40" s="14">
        <v>0.11979166666666667</v>
      </c>
      <c r="AJ40" s="56"/>
      <c r="AK40" s="55"/>
      <c r="AL40" s="56"/>
      <c r="AM40" s="9">
        <v>10265894.899999997</v>
      </c>
      <c r="AN40" s="14">
        <v>0.1257602540606389</v>
      </c>
      <c r="AO40" s="10">
        <v>1627</v>
      </c>
      <c r="AP40" s="14">
        <v>0.1149254785618422</v>
      </c>
      <c r="AQ40" s="56"/>
      <c r="AR40" s="55"/>
      <c r="AS40" s="56"/>
      <c r="AT40" s="9">
        <v>9881982.889999984</v>
      </c>
      <c r="AU40" s="14">
        <v>0.12296391861124713</v>
      </c>
      <c r="AV40" s="10">
        <v>1549</v>
      </c>
      <c r="AW40" s="14">
        <v>0.11237666860127685</v>
      </c>
      <c r="AX40" s="56"/>
      <c r="AY40" s="55"/>
      <c r="AZ40" s="56"/>
      <c r="BA40" s="9">
        <v>10018416.270000014</v>
      </c>
      <c r="BB40" s="14">
        <v>0.12010252594026921</v>
      </c>
      <c r="BC40" s="10">
        <v>1537</v>
      </c>
      <c r="BD40" s="14">
        <v>0.10977787300907078</v>
      </c>
      <c r="BE40" s="56"/>
      <c r="BF40" s="55"/>
      <c r="BG40" s="56"/>
      <c r="BH40" s="9">
        <v>9156395.779999994</v>
      </c>
      <c r="BI40" s="14">
        <v>0.12006465358956368</v>
      </c>
      <c r="BJ40" s="10">
        <v>1405</v>
      </c>
      <c r="BK40" s="14">
        <v>0.11451626049392778</v>
      </c>
      <c r="BL40" s="56"/>
      <c r="BM40" s="55"/>
      <c r="BN40" s="56"/>
      <c r="BO40" s="9">
        <v>8308415.08</v>
      </c>
      <c r="BP40" s="14">
        <f t="shared" si="4"/>
        <v>0.11867911569001464</v>
      </c>
      <c r="BQ40" s="10">
        <v>1314</v>
      </c>
      <c r="BR40" s="14">
        <f t="shared" si="5"/>
        <v>0.11584236974345412</v>
      </c>
      <c r="BS40" s="56"/>
      <c r="BT40" s="55"/>
      <c r="BU40" s="56"/>
      <c r="BV40" s="9">
        <v>7638169.86</v>
      </c>
      <c r="BW40" s="14">
        <v>0.11909733610125481</v>
      </c>
      <c r="BX40" s="10">
        <v>1182</v>
      </c>
      <c r="BY40" s="14">
        <f t="shared" si="6"/>
        <v>0.11249643095079472</v>
      </c>
      <c r="BZ40" s="56"/>
      <c r="CA40" s="55"/>
      <c r="CB40" s="56"/>
      <c r="CC40" s="9">
        <v>7037046.909999998</v>
      </c>
      <c r="CD40" s="14">
        <v>0.11898319457038517</v>
      </c>
      <c r="CE40" s="10">
        <v>1104</v>
      </c>
      <c r="CF40" s="14">
        <v>0.1122749923726228</v>
      </c>
      <c r="CG40" s="56"/>
      <c r="CH40" s="55"/>
      <c r="CI40" s="56"/>
      <c r="CJ40" s="9">
        <v>6452389.510000002</v>
      </c>
      <c r="CK40" s="14">
        <v>0.1186275002775591</v>
      </c>
      <c r="CL40" s="10">
        <v>1010</v>
      </c>
      <c r="CM40" s="14">
        <v>0.11076990568107041</v>
      </c>
      <c r="CN40" s="56"/>
      <c r="CO40" s="55"/>
      <c r="CP40" s="56"/>
      <c r="CQ40" s="9">
        <v>5895193.330000004</v>
      </c>
      <c r="CR40" s="14">
        <v>0.11795509492236321</v>
      </c>
      <c r="CS40" s="10">
        <v>918</v>
      </c>
      <c r="CT40" s="14">
        <v>0.10972985895290462</v>
      </c>
      <c r="CU40" s="56"/>
      <c r="CV40" s="55"/>
      <c r="CW40" s="56"/>
      <c r="CX40" s="9">
        <v>5423797.839999991</v>
      </c>
      <c r="CY40" s="14">
        <v>0.1170260961372285</v>
      </c>
      <c r="CZ40" s="10">
        <v>856</v>
      </c>
      <c r="DA40" s="14">
        <v>0.1095609880967618</v>
      </c>
      <c r="DB40" s="56"/>
      <c r="DC40" s="55"/>
      <c r="DD40" s="56"/>
    </row>
    <row r="41" spans="1:108" ht="12.75">
      <c r="A41" s="8" t="s">
        <v>34</v>
      </c>
      <c r="B41" s="8"/>
      <c r="C41" s="8"/>
      <c r="D41" s="9">
        <v>6711482.879999998</v>
      </c>
      <c r="E41" s="14">
        <f t="shared" si="7"/>
        <v>0.07342239348741794</v>
      </c>
      <c r="F41" s="10">
        <v>1377</v>
      </c>
      <c r="G41" s="14">
        <f t="shared" si="8"/>
        <v>0.07251948599115231</v>
      </c>
      <c r="H41" s="8"/>
      <c r="I41" s="8"/>
      <c r="J41" s="9">
        <v>6007666.950000005</v>
      </c>
      <c r="K41" s="14">
        <f t="shared" si="9"/>
        <v>0.07219510265306543</v>
      </c>
      <c r="L41" s="10">
        <v>1106</v>
      </c>
      <c r="M41" s="14">
        <f t="shared" si="10"/>
        <v>0.07283503457359236</v>
      </c>
      <c r="N41" s="56"/>
      <c r="O41" s="55"/>
      <c r="P41" s="56"/>
      <c r="Q41" s="8"/>
      <c r="R41" s="9">
        <v>5630314.530000009</v>
      </c>
      <c r="S41" s="14">
        <v>0.07168306031371509</v>
      </c>
      <c r="T41" s="10">
        <v>1031</v>
      </c>
      <c r="U41" s="14">
        <v>0.07176167606320039</v>
      </c>
      <c r="V41" s="56"/>
      <c r="W41" s="55"/>
      <c r="X41" s="56"/>
      <c r="Y41" s="9">
        <v>5797311.210000005</v>
      </c>
      <c r="Z41" s="14">
        <v>0.071656981055067</v>
      </c>
      <c r="AA41" s="10">
        <v>1035</v>
      </c>
      <c r="AB41" s="14">
        <v>0.07123193392980041</v>
      </c>
      <c r="AC41" s="56"/>
      <c r="AD41" s="55"/>
      <c r="AE41" s="56"/>
      <c r="AF41" s="9">
        <v>6074554.009999998</v>
      </c>
      <c r="AG41" s="14">
        <v>0.07566287005871586</v>
      </c>
      <c r="AH41" s="10">
        <v>1023</v>
      </c>
      <c r="AI41" s="14">
        <v>0.07200168918918919</v>
      </c>
      <c r="AJ41" s="56"/>
      <c r="AK41" s="55"/>
      <c r="AL41" s="56"/>
      <c r="AM41" s="9">
        <v>5772736.290000005</v>
      </c>
      <c r="AN41" s="14">
        <v>0.07071772987423346</v>
      </c>
      <c r="AO41" s="10">
        <v>971</v>
      </c>
      <c r="AP41" s="14">
        <v>0.06858797767888677</v>
      </c>
      <c r="AQ41" s="56"/>
      <c r="AR41" s="55"/>
      <c r="AS41" s="56"/>
      <c r="AT41" s="9">
        <v>5631112.240000005</v>
      </c>
      <c r="AU41" s="14">
        <v>0.07006930034971547</v>
      </c>
      <c r="AV41" s="10">
        <v>910</v>
      </c>
      <c r="AW41" s="14">
        <v>0.06601857225769008</v>
      </c>
      <c r="AX41" s="56"/>
      <c r="AY41" s="55"/>
      <c r="AZ41" s="56"/>
      <c r="BA41" s="9">
        <v>5521929.569999999</v>
      </c>
      <c r="BB41" s="14">
        <v>0.06619785718099969</v>
      </c>
      <c r="BC41" s="10">
        <v>884</v>
      </c>
      <c r="BD41" s="14">
        <v>0.06313834726090993</v>
      </c>
      <c r="BE41" s="56"/>
      <c r="BF41" s="55"/>
      <c r="BG41" s="56"/>
      <c r="BH41" s="9">
        <v>5036053.470000006</v>
      </c>
      <c r="BI41" s="14">
        <v>0.06603602878927448</v>
      </c>
      <c r="BJ41" s="10">
        <v>802</v>
      </c>
      <c r="BK41" s="14">
        <v>0.06536800065204988</v>
      </c>
      <c r="BL41" s="56"/>
      <c r="BM41" s="55"/>
      <c r="BN41" s="56"/>
      <c r="BO41" s="9">
        <v>4533400.39</v>
      </c>
      <c r="BP41" s="14">
        <f t="shared" si="4"/>
        <v>0.0647560267720721</v>
      </c>
      <c r="BQ41" s="10">
        <v>733</v>
      </c>
      <c r="BR41" s="14">
        <f t="shared" si="5"/>
        <v>0.06462135237591467</v>
      </c>
      <c r="BS41" s="56"/>
      <c r="BT41" s="55"/>
      <c r="BU41" s="56"/>
      <c r="BV41" s="9">
        <v>4108138.66</v>
      </c>
      <c r="BW41" s="14">
        <v>0.06405570702254301</v>
      </c>
      <c r="BX41" s="10">
        <v>663</v>
      </c>
      <c r="BY41" s="14">
        <f t="shared" si="6"/>
        <v>0.06310078994955744</v>
      </c>
      <c r="BZ41" s="56"/>
      <c r="CA41" s="55"/>
      <c r="CB41" s="56"/>
      <c r="CC41" s="9">
        <v>3782109.47</v>
      </c>
      <c r="CD41" s="14">
        <v>0.06394833979520916</v>
      </c>
      <c r="CE41" s="10">
        <v>623</v>
      </c>
      <c r="CF41" s="14">
        <v>0.06335807993491305</v>
      </c>
      <c r="CG41" s="56"/>
      <c r="CH41" s="55"/>
      <c r="CI41" s="56"/>
      <c r="CJ41" s="9">
        <v>3464619.5</v>
      </c>
      <c r="CK41" s="14">
        <v>0.06369720086813024</v>
      </c>
      <c r="CL41" s="10">
        <v>576</v>
      </c>
      <c r="CM41" s="14">
        <v>0.06317174819039263</v>
      </c>
      <c r="CN41" s="56"/>
      <c r="CO41" s="55"/>
      <c r="CP41" s="56"/>
      <c r="CQ41" s="9">
        <v>3200397.36</v>
      </c>
      <c r="CR41" s="14">
        <v>0.06403575816029775</v>
      </c>
      <c r="CS41" s="10">
        <v>530</v>
      </c>
      <c r="CT41" s="14">
        <v>0.06335166148697108</v>
      </c>
      <c r="CU41" s="56"/>
      <c r="CV41" s="55"/>
      <c r="CW41" s="56"/>
      <c r="CX41" s="9">
        <v>2968311.87</v>
      </c>
      <c r="CY41" s="14">
        <v>0.06404551948859091</v>
      </c>
      <c r="CZ41" s="10">
        <v>501</v>
      </c>
      <c r="DA41" s="14">
        <v>0.06412389607065148</v>
      </c>
      <c r="DB41" s="56"/>
      <c r="DC41" s="55"/>
      <c r="DD41" s="56"/>
    </row>
    <row r="42" spans="1:108" ht="12.75">
      <c r="A42" s="8" t="s">
        <v>35</v>
      </c>
      <c r="B42" s="8"/>
      <c r="C42" s="8"/>
      <c r="D42" s="9">
        <v>7803787.600000002</v>
      </c>
      <c r="E42" s="14">
        <f t="shared" si="7"/>
        <v>0.08537200706670554</v>
      </c>
      <c r="F42" s="10">
        <v>1684</v>
      </c>
      <c r="G42" s="14">
        <f t="shared" si="8"/>
        <v>0.08868759216347166</v>
      </c>
      <c r="H42" s="8"/>
      <c r="I42" s="8"/>
      <c r="J42" s="9">
        <v>7160398.089999997</v>
      </c>
      <c r="K42" s="14">
        <f t="shared" si="9"/>
        <v>0.08604765867461461</v>
      </c>
      <c r="L42" s="10">
        <v>1379</v>
      </c>
      <c r="M42" s="14">
        <f t="shared" si="10"/>
        <v>0.09081330260125123</v>
      </c>
      <c r="N42" s="56"/>
      <c r="O42" s="55"/>
      <c r="P42" s="56"/>
      <c r="Q42" s="8"/>
      <c r="R42" s="9">
        <v>6621842.959999994</v>
      </c>
      <c r="S42" s="14">
        <v>0.0843068297091439</v>
      </c>
      <c r="T42" s="10">
        <v>1281</v>
      </c>
      <c r="U42" s="14">
        <v>0.08916266443934015</v>
      </c>
      <c r="V42" s="56"/>
      <c r="W42" s="55"/>
      <c r="X42" s="56"/>
      <c r="Y42" s="9">
        <v>6555211.809999991</v>
      </c>
      <c r="Z42" s="14">
        <v>0.08102492197949822</v>
      </c>
      <c r="AA42" s="10">
        <v>1247</v>
      </c>
      <c r="AB42" s="14">
        <v>0.08582243633860977</v>
      </c>
      <c r="AC42" s="56"/>
      <c r="AD42" s="55"/>
      <c r="AE42" s="56"/>
      <c r="AF42" s="9">
        <v>5754297.340000006</v>
      </c>
      <c r="AG42" s="14">
        <v>0.0716738465406508</v>
      </c>
      <c r="AH42" s="10">
        <v>1121</v>
      </c>
      <c r="AI42" s="14">
        <v>0.07889921171171171</v>
      </c>
      <c r="AJ42" s="56"/>
      <c r="AK42" s="55"/>
      <c r="AL42" s="56"/>
      <c r="AM42" s="9">
        <v>6200815.059999995</v>
      </c>
      <c r="AN42" s="14">
        <v>0.07596182163608897</v>
      </c>
      <c r="AO42" s="10">
        <v>1136</v>
      </c>
      <c r="AP42" s="14">
        <v>0.08024298933389842</v>
      </c>
      <c r="AQ42" s="56"/>
      <c r="AR42" s="55"/>
      <c r="AS42" s="56"/>
      <c r="AT42" s="9">
        <v>6136927.719999999</v>
      </c>
      <c r="AU42" s="14">
        <v>0.07636328549494052</v>
      </c>
      <c r="AV42" s="10">
        <v>1084</v>
      </c>
      <c r="AW42" s="14">
        <v>0.07864190365641323</v>
      </c>
      <c r="AX42" s="56"/>
      <c r="AY42" s="55"/>
      <c r="AZ42" s="56"/>
      <c r="BA42" s="9">
        <v>6281824.740000001</v>
      </c>
      <c r="BB42" s="14">
        <v>0.07530761334476611</v>
      </c>
      <c r="BC42" s="10">
        <v>1069</v>
      </c>
      <c r="BD42" s="14">
        <v>0.07635168916505963</v>
      </c>
      <c r="BE42" s="56"/>
      <c r="BF42" s="55"/>
      <c r="BG42" s="56"/>
      <c r="BH42" s="9">
        <v>5740605.189999999</v>
      </c>
      <c r="BI42" s="14">
        <v>0.07527457201416447</v>
      </c>
      <c r="BJ42" s="10">
        <v>974</v>
      </c>
      <c r="BK42" s="14">
        <v>0.079387073111093</v>
      </c>
      <c r="BL42" s="56"/>
      <c r="BM42" s="55"/>
      <c r="BN42" s="56"/>
      <c r="BO42" s="9">
        <v>5321052.19</v>
      </c>
      <c r="BP42" s="14">
        <f t="shared" si="4"/>
        <v>0.07600700763852736</v>
      </c>
      <c r="BQ42" s="10">
        <v>906</v>
      </c>
      <c r="BR42" s="14">
        <f t="shared" si="5"/>
        <v>0.0798730494578154</v>
      </c>
      <c r="BS42" s="56"/>
      <c r="BT42" s="55"/>
      <c r="BU42" s="56"/>
      <c r="BV42" s="9">
        <v>4911727.32</v>
      </c>
      <c r="BW42" s="14">
        <v>0.07658557615105921</v>
      </c>
      <c r="BX42" s="10">
        <v>842</v>
      </c>
      <c r="BY42" s="14">
        <f t="shared" si="6"/>
        <v>0.0801370514894832</v>
      </c>
      <c r="BZ42" s="56"/>
      <c r="CA42" s="55"/>
      <c r="CB42" s="56"/>
      <c r="CC42" s="9">
        <v>4553864.55</v>
      </c>
      <c r="CD42" s="14">
        <v>0.07699726301807887</v>
      </c>
      <c r="CE42" s="10">
        <v>790</v>
      </c>
      <c r="CF42" s="14">
        <v>0.08034170649852537</v>
      </c>
      <c r="CG42" s="56"/>
      <c r="CH42" s="55"/>
      <c r="CI42" s="56"/>
      <c r="CJ42" s="9">
        <v>4192393.33</v>
      </c>
      <c r="CK42" s="14">
        <v>0.07707171267980018</v>
      </c>
      <c r="CL42" s="10">
        <v>735</v>
      </c>
      <c r="CM42" s="14">
        <v>0.08050010967317395</v>
      </c>
      <c r="CN42" s="56"/>
      <c r="CO42" s="55"/>
      <c r="CP42" s="56"/>
      <c r="CQ42" s="9">
        <v>3811416.21</v>
      </c>
      <c r="CR42" s="14">
        <v>0.07626144482002649</v>
      </c>
      <c r="CS42" s="10">
        <v>679</v>
      </c>
      <c r="CT42" s="14">
        <v>0.0811618455653837</v>
      </c>
      <c r="CU42" s="56"/>
      <c r="CV42" s="55"/>
      <c r="CW42" s="56"/>
      <c r="CX42" s="9">
        <v>3493204.79</v>
      </c>
      <c r="CY42" s="14">
        <v>0.07537082532220044</v>
      </c>
      <c r="CZ42" s="10">
        <v>616</v>
      </c>
      <c r="DA42" s="14">
        <v>0.07884295405094074</v>
      </c>
      <c r="DB42" s="56"/>
      <c r="DC42" s="55"/>
      <c r="DD42" s="56"/>
    </row>
    <row r="43" spans="1:108" ht="12.75">
      <c r="A43" s="8" t="s">
        <v>42</v>
      </c>
      <c r="B43" s="8"/>
      <c r="C43" s="8"/>
      <c r="D43" s="9">
        <v>3166128.33</v>
      </c>
      <c r="E43" s="14">
        <f t="shared" si="7"/>
        <v>0.03463686404828042</v>
      </c>
      <c r="F43" s="10">
        <v>640</v>
      </c>
      <c r="G43" s="14">
        <f t="shared" si="8"/>
        <v>0.033705498209395404</v>
      </c>
      <c r="H43" s="8"/>
      <c r="I43" s="8"/>
      <c r="J43" s="9">
        <v>2881755.2</v>
      </c>
      <c r="K43" s="14">
        <f t="shared" si="9"/>
        <v>0.03463051700710622</v>
      </c>
      <c r="L43" s="10">
        <v>513</v>
      </c>
      <c r="M43" s="14">
        <f t="shared" si="10"/>
        <v>0.033783338821205135</v>
      </c>
      <c r="N43" s="56"/>
      <c r="O43" s="55"/>
      <c r="P43" s="56"/>
      <c r="Q43" s="8"/>
      <c r="R43" s="9">
        <v>2665306.78</v>
      </c>
      <c r="S43" s="14">
        <v>0.03393368978718377</v>
      </c>
      <c r="T43" s="10">
        <v>468</v>
      </c>
      <c r="U43" s="14">
        <v>0.03257465024013364</v>
      </c>
      <c r="V43" s="56"/>
      <c r="W43" s="55"/>
      <c r="X43" s="56"/>
      <c r="Y43" s="9">
        <v>2889418.27</v>
      </c>
      <c r="Z43" s="14">
        <v>0.03571431353838847</v>
      </c>
      <c r="AA43" s="10">
        <v>489</v>
      </c>
      <c r="AB43" s="14">
        <v>0.03365450791465933</v>
      </c>
      <c r="AC43" s="56"/>
      <c r="AD43" s="55"/>
      <c r="AE43" s="56"/>
      <c r="AF43" s="9">
        <v>3158165.89</v>
      </c>
      <c r="AG43" s="14">
        <v>0.03933719166305325</v>
      </c>
      <c r="AH43" s="10">
        <v>538</v>
      </c>
      <c r="AI43" s="14">
        <v>0.03786599099099099</v>
      </c>
      <c r="AJ43" s="56"/>
      <c r="AK43" s="55"/>
      <c r="AL43" s="56"/>
      <c r="AM43" s="9">
        <v>2781370.14</v>
      </c>
      <c r="AN43" s="14">
        <v>0.03407260826750475</v>
      </c>
      <c r="AO43" s="10">
        <v>480</v>
      </c>
      <c r="AP43" s="14">
        <v>0.033905488450942996</v>
      </c>
      <c r="AQ43" s="56"/>
      <c r="AR43" s="55"/>
      <c r="AS43" s="56"/>
      <c r="AT43" s="9">
        <v>2572804.06</v>
      </c>
      <c r="AU43" s="14">
        <v>0.03201402720062054</v>
      </c>
      <c r="AV43" s="10">
        <v>437</v>
      </c>
      <c r="AW43" s="14">
        <v>0.03170342426001161</v>
      </c>
      <c r="AX43" s="56"/>
      <c r="AY43" s="55"/>
      <c r="AZ43" s="56"/>
      <c r="BA43" s="9">
        <v>2571945.35</v>
      </c>
      <c r="BB43" s="14">
        <v>0.030832930554135288</v>
      </c>
      <c r="BC43" s="10">
        <v>425</v>
      </c>
      <c r="BD43" s="14">
        <v>0.03035497464466824</v>
      </c>
      <c r="BE43" s="56"/>
      <c r="BF43" s="55"/>
      <c r="BG43" s="56"/>
      <c r="BH43" s="9">
        <v>2269928.36</v>
      </c>
      <c r="BI43" s="14">
        <v>0.02976478614126995</v>
      </c>
      <c r="BJ43" s="10">
        <v>379</v>
      </c>
      <c r="BK43" s="14">
        <v>0.030890863151031053</v>
      </c>
      <c r="BL43" s="56"/>
      <c r="BM43" s="55"/>
      <c r="BN43" s="56"/>
      <c r="BO43" s="9">
        <v>2104973.4</v>
      </c>
      <c r="BP43" s="14">
        <f t="shared" si="4"/>
        <v>0.030067874469146463</v>
      </c>
      <c r="BQ43" s="10">
        <v>346</v>
      </c>
      <c r="BR43" s="14">
        <f t="shared" si="5"/>
        <v>0.030503394163801465</v>
      </c>
      <c r="BS43" s="56"/>
      <c r="BT43" s="55"/>
      <c r="BU43" s="56"/>
      <c r="BV43" s="9">
        <v>1941232.7</v>
      </c>
      <c r="BW43" s="14">
        <v>0.030268460581556966</v>
      </c>
      <c r="BX43" s="10">
        <v>314</v>
      </c>
      <c r="BY43" s="14">
        <f t="shared" si="6"/>
        <v>0.02988483867897592</v>
      </c>
      <c r="BZ43" s="56"/>
      <c r="CA43" s="55"/>
      <c r="CB43" s="56"/>
      <c r="CC43" s="9">
        <v>1809656.95</v>
      </c>
      <c r="CD43" s="14">
        <v>0.030597886832546325</v>
      </c>
      <c r="CE43" s="10">
        <v>292</v>
      </c>
      <c r="CF43" s="14">
        <v>0.02969592189565748</v>
      </c>
      <c r="CG43" s="56"/>
      <c r="CH43" s="55"/>
      <c r="CI43" s="56"/>
      <c r="CJ43" s="9">
        <v>1697927.98</v>
      </c>
      <c r="CK43" s="14">
        <v>0.031216489892087328</v>
      </c>
      <c r="CL43" s="10">
        <v>276</v>
      </c>
      <c r="CM43" s="14">
        <v>0.03026979600789647</v>
      </c>
      <c r="CN43" s="56"/>
      <c r="CO43" s="55"/>
      <c r="CP43" s="56"/>
      <c r="CQ43" s="9">
        <v>1549563.77</v>
      </c>
      <c r="CR43" s="14">
        <v>0.03100474087057717</v>
      </c>
      <c r="CS43" s="10">
        <v>261</v>
      </c>
      <c r="CT43" s="14">
        <v>0.03119770499641406</v>
      </c>
      <c r="CU43" s="56"/>
      <c r="CV43" s="55"/>
      <c r="CW43" s="56"/>
      <c r="CX43" s="9">
        <v>1461659.41</v>
      </c>
      <c r="CY43" s="14">
        <v>0.0315373654550784</v>
      </c>
      <c r="CZ43" s="10">
        <v>245</v>
      </c>
      <c r="DA43" s="14">
        <v>0.03135799308844234</v>
      </c>
      <c r="DB43" s="56"/>
      <c r="DC43" s="55"/>
      <c r="DD43" s="56"/>
    </row>
    <row r="44" spans="1:108" ht="12.75">
      <c r="A44" s="8" t="s">
        <v>36</v>
      </c>
      <c r="B44" s="8"/>
      <c r="C44" s="8"/>
      <c r="D44" s="9">
        <v>16901849.580000017</v>
      </c>
      <c r="E44" s="14">
        <f t="shared" si="7"/>
        <v>0.18490313880200365</v>
      </c>
      <c r="F44" s="10">
        <v>3716</v>
      </c>
      <c r="G44" s="14">
        <f t="shared" si="8"/>
        <v>0.19570254897830208</v>
      </c>
      <c r="H44" s="8"/>
      <c r="I44" s="8"/>
      <c r="J44" s="9">
        <v>15067679.950000035</v>
      </c>
      <c r="K44" s="14">
        <f t="shared" si="9"/>
        <v>0.18107074007053395</v>
      </c>
      <c r="L44" s="10">
        <v>2864</v>
      </c>
      <c r="M44" s="14">
        <f t="shared" si="10"/>
        <v>0.18860717813631875</v>
      </c>
      <c r="N44" s="56"/>
      <c r="O44" s="55"/>
      <c r="P44" s="56"/>
      <c r="Q44" s="8"/>
      <c r="R44" s="9">
        <v>14076829.879999982</v>
      </c>
      <c r="S44" s="14">
        <v>0.1792209369365274</v>
      </c>
      <c r="T44" s="10">
        <v>2777</v>
      </c>
      <c r="U44" s="14">
        <v>0.19329017888216052</v>
      </c>
      <c r="V44" s="56"/>
      <c r="W44" s="55"/>
      <c r="X44" s="56"/>
      <c r="Y44" s="9">
        <v>13846701.349999947</v>
      </c>
      <c r="Z44" s="14">
        <v>0.17115051795056488</v>
      </c>
      <c r="AA44" s="10">
        <v>2597</v>
      </c>
      <c r="AB44" s="14">
        <v>0.17873365450791465</v>
      </c>
      <c r="AC44" s="56"/>
      <c r="AD44" s="55"/>
      <c r="AE44" s="56"/>
      <c r="AF44" s="9">
        <v>14978298.569999978</v>
      </c>
      <c r="AG44" s="14">
        <v>0.18656531105607183</v>
      </c>
      <c r="AH44" s="10">
        <v>2831</v>
      </c>
      <c r="AI44" s="14">
        <v>0.19925394144144143</v>
      </c>
      <c r="AJ44" s="56"/>
      <c r="AK44" s="55"/>
      <c r="AL44" s="56"/>
      <c r="AM44" s="9">
        <v>13178921.799999982</v>
      </c>
      <c r="AN44" s="14">
        <v>0.16144569664484787</v>
      </c>
      <c r="AO44" s="10">
        <v>2361</v>
      </c>
      <c r="AP44" s="14">
        <v>0.16677262131807585</v>
      </c>
      <c r="AQ44" s="56"/>
      <c r="AR44" s="55"/>
      <c r="AS44" s="56"/>
      <c r="AT44" s="9">
        <v>12403869.949999994</v>
      </c>
      <c r="AU44" s="14">
        <v>0.15434437318645222</v>
      </c>
      <c r="AV44" s="10">
        <v>2200</v>
      </c>
      <c r="AW44" s="14">
        <v>0.1596053395240859</v>
      </c>
      <c r="AX44" s="56"/>
      <c r="AY44" s="55"/>
      <c r="AZ44" s="56"/>
      <c r="BA44" s="9">
        <v>13019075.809999973</v>
      </c>
      <c r="BB44" s="14">
        <v>0.1560749571637485</v>
      </c>
      <c r="BC44" s="10">
        <v>2233</v>
      </c>
      <c r="BD44" s="14">
        <v>0.15948860795657452</v>
      </c>
      <c r="BE44" s="56"/>
      <c r="BF44" s="55"/>
      <c r="BG44" s="56"/>
      <c r="BH44" s="9">
        <v>11793344.229999997</v>
      </c>
      <c r="BI44" s="14">
        <v>0.15464204733594752</v>
      </c>
      <c r="BJ44" s="10">
        <v>2011</v>
      </c>
      <c r="BK44" s="14">
        <v>0.16390903904148668</v>
      </c>
      <c r="BL44" s="56"/>
      <c r="BM44" s="55"/>
      <c r="BN44" s="56"/>
      <c r="BO44" s="9">
        <v>11272111.33</v>
      </c>
      <c r="BP44" s="14">
        <f t="shared" si="4"/>
        <v>0.1610131645714305</v>
      </c>
      <c r="BQ44" s="10">
        <v>1960</v>
      </c>
      <c r="BR44" s="14">
        <f t="shared" si="5"/>
        <v>0.17279379352904875</v>
      </c>
      <c r="BS44" s="56"/>
      <c r="BT44" s="55"/>
      <c r="BU44" s="56"/>
      <c r="BV44" s="9">
        <v>10235198.579999983</v>
      </c>
      <c r="BW44" s="14">
        <v>0.15959122508246287</v>
      </c>
      <c r="BX44" s="10">
        <v>1903</v>
      </c>
      <c r="BY44" s="14">
        <f t="shared" si="6"/>
        <v>0.18111735033787</v>
      </c>
      <c r="BZ44" s="56"/>
      <c r="CA44" s="55"/>
      <c r="CB44" s="56"/>
      <c r="CC44" s="9">
        <v>8977013.370000016</v>
      </c>
      <c r="CD44" s="14">
        <v>0.15178436951241828</v>
      </c>
      <c r="CE44" s="10">
        <v>1594</v>
      </c>
      <c r="CF44" s="14">
        <v>0.1621071900742398</v>
      </c>
      <c r="CG44" s="56"/>
      <c r="CH44" s="55"/>
      <c r="CI44" s="56"/>
      <c r="CJ44" s="9">
        <v>8277428.499999993</v>
      </c>
      <c r="CK44" s="14">
        <v>0.15218093237542699</v>
      </c>
      <c r="CL44" s="10">
        <v>1477</v>
      </c>
      <c r="CM44" s="14">
        <v>0.16198727791182277</v>
      </c>
      <c r="CN44" s="56"/>
      <c r="CO44" s="55"/>
      <c r="CP44" s="56"/>
      <c r="CQ44" s="9">
        <v>7592607.639999991</v>
      </c>
      <c r="CR44" s="14">
        <v>0.1519181313913684</v>
      </c>
      <c r="CS44" s="10">
        <v>1359</v>
      </c>
      <c r="CT44" s="14">
        <v>0.16244322256753527</v>
      </c>
      <c r="CU44" s="56"/>
      <c r="CV44" s="55"/>
      <c r="CW44" s="56"/>
      <c r="CX44" s="9">
        <v>7040665.620000003</v>
      </c>
      <c r="CY44" s="14">
        <v>0.1519123013102939</v>
      </c>
      <c r="CZ44" s="10">
        <v>1268</v>
      </c>
      <c r="DA44" s="14">
        <v>0.16229361320875463</v>
      </c>
      <c r="DB44" s="56"/>
      <c r="DC44" s="55"/>
      <c r="DD44" s="56"/>
    </row>
    <row r="45" spans="1:108" ht="12.75">
      <c r="A45" s="8" t="s">
        <v>37</v>
      </c>
      <c r="B45" s="8"/>
      <c r="C45" s="8"/>
      <c r="D45" s="9">
        <v>5697817.289999998</v>
      </c>
      <c r="E45" s="14">
        <f t="shared" si="7"/>
        <v>0.06233307758743673</v>
      </c>
      <c r="F45" s="10">
        <v>1285</v>
      </c>
      <c r="G45" s="14">
        <f t="shared" si="8"/>
        <v>0.06767432062355172</v>
      </c>
      <c r="H45" s="8"/>
      <c r="I45" s="8"/>
      <c r="J45" s="9">
        <v>5124352.35</v>
      </c>
      <c r="K45" s="14">
        <f t="shared" si="9"/>
        <v>0.06158016864412345</v>
      </c>
      <c r="L45" s="10">
        <v>998</v>
      </c>
      <c r="M45" s="14">
        <f t="shared" si="10"/>
        <v>0.06572275271649654</v>
      </c>
      <c r="N45" s="56"/>
      <c r="O45" s="55"/>
      <c r="P45" s="56"/>
      <c r="Q45" s="8"/>
      <c r="R45" s="9">
        <v>4891183.96</v>
      </c>
      <c r="S45" s="14">
        <v>0.06227272614024909</v>
      </c>
      <c r="T45" s="10">
        <v>952</v>
      </c>
      <c r="U45" s="14">
        <v>0.06626296373634022</v>
      </c>
      <c r="V45" s="56"/>
      <c r="W45" s="55"/>
      <c r="X45" s="56"/>
      <c r="Y45" s="9">
        <v>5212884.789999994</v>
      </c>
      <c r="Z45" s="14">
        <v>0.06443324726037541</v>
      </c>
      <c r="AA45" s="10">
        <v>1002</v>
      </c>
      <c r="AB45" s="14">
        <v>0.06896077081899518</v>
      </c>
      <c r="AC45" s="56"/>
      <c r="AD45" s="55"/>
      <c r="AE45" s="56"/>
      <c r="AF45" s="9">
        <v>5621920.239999994</v>
      </c>
      <c r="AG45" s="14">
        <v>0.07002499605721414</v>
      </c>
      <c r="AH45" s="10">
        <v>1071</v>
      </c>
      <c r="AI45" s="14">
        <v>0.07538006756756757</v>
      </c>
      <c r="AJ45" s="56"/>
      <c r="AK45" s="55"/>
      <c r="AL45" s="56"/>
      <c r="AM45" s="9">
        <v>5526345.809999991</v>
      </c>
      <c r="AN45" s="14">
        <v>0.06769937349471077</v>
      </c>
      <c r="AO45" s="10">
        <v>1049</v>
      </c>
      <c r="AP45" s="14">
        <v>0.07409761955216501</v>
      </c>
      <c r="AQ45" s="56"/>
      <c r="AR45" s="55"/>
      <c r="AS45" s="56"/>
      <c r="AT45" s="9">
        <v>5433264.330000003</v>
      </c>
      <c r="AU45" s="14">
        <v>0.06760743064467233</v>
      </c>
      <c r="AV45" s="10">
        <v>1049</v>
      </c>
      <c r="AW45" s="14">
        <v>0.07610272780034823</v>
      </c>
      <c r="AX45" s="56"/>
      <c r="AY45" s="55"/>
      <c r="AZ45" s="56"/>
      <c r="BA45" s="9">
        <v>5766840.029999988</v>
      </c>
      <c r="BB45" s="14">
        <v>0.0691338865974727</v>
      </c>
      <c r="BC45" s="10">
        <v>1115</v>
      </c>
      <c r="BD45" s="14">
        <v>0.07963716877365902</v>
      </c>
      <c r="BE45" s="56"/>
      <c r="BF45" s="55"/>
      <c r="BG45" s="56"/>
      <c r="BH45" s="9">
        <v>5222429.45</v>
      </c>
      <c r="BI45" s="14">
        <v>0.06847991260707458</v>
      </c>
      <c r="BJ45" s="10">
        <v>997</v>
      </c>
      <c r="BK45" s="14">
        <v>0.08126171652131388</v>
      </c>
      <c r="BL45" s="56"/>
      <c r="BM45" s="55"/>
      <c r="BN45" s="56"/>
      <c r="BO45" s="9">
        <v>4760137</v>
      </c>
      <c r="BP45" s="14">
        <f t="shared" si="4"/>
        <v>0.06799477930312062</v>
      </c>
      <c r="BQ45" s="10">
        <v>960</v>
      </c>
      <c r="BR45" s="14">
        <f t="shared" si="5"/>
        <v>0.08463369478973816</v>
      </c>
      <c r="BS45" s="56"/>
      <c r="BT45" s="55"/>
      <c r="BU45" s="56"/>
      <c r="BV45" s="9">
        <v>4367981.54</v>
      </c>
      <c r="BW45" s="14">
        <v>0.06810727898023686</v>
      </c>
      <c r="BX45" s="10">
        <v>878</v>
      </c>
      <c r="BY45" s="14">
        <f t="shared" si="6"/>
        <v>0.08356333872656324</v>
      </c>
      <c r="BZ45" s="56"/>
      <c r="CA45" s="55"/>
      <c r="CB45" s="56"/>
      <c r="CC45" s="9">
        <v>3959207.19</v>
      </c>
      <c r="CD45" s="14">
        <v>0.06694272831445962</v>
      </c>
      <c r="CE45" s="10">
        <v>817</v>
      </c>
      <c r="CF45" s="14">
        <v>0.08308756229024712</v>
      </c>
      <c r="CG45" s="56"/>
      <c r="CH45" s="55"/>
      <c r="CI45" s="56"/>
      <c r="CJ45" s="9">
        <v>3637569.94</v>
      </c>
      <c r="CK45" s="14">
        <v>0.06687690326168642</v>
      </c>
      <c r="CL45" s="10">
        <v>771</v>
      </c>
      <c r="CM45" s="14">
        <v>0.08455801710901513</v>
      </c>
      <c r="CN45" s="56"/>
      <c r="CO45" s="55"/>
      <c r="CP45" s="56"/>
      <c r="CQ45" s="9">
        <v>3429302.1</v>
      </c>
      <c r="CR45" s="14">
        <v>0.06861584210724425</v>
      </c>
      <c r="CS45" s="10">
        <v>713</v>
      </c>
      <c r="CT45" s="14">
        <v>0.08522591441549128</v>
      </c>
      <c r="CU45" s="56"/>
      <c r="CV45" s="55"/>
      <c r="CW45" s="56"/>
      <c r="CX45" s="9">
        <v>3212608.49</v>
      </c>
      <c r="CY45" s="14">
        <v>0.06931656398204121</v>
      </c>
      <c r="CZ45" s="10">
        <v>667</v>
      </c>
      <c r="DA45" s="14">
        <v>0.08537053628567771</v>
      </c>
      <c r="DB45" s="56"/>
      <c r="DC45" s="55"/>
      <c r="DD45" s="56"/>
    </row>
    <row r="46" spans="1:108" ht="12.75">
      <c r="A46" s="8" t="s">
        <v>38</v>
      </c>
      <c r="B46" s="8"/>
      <c r="C46" s="8"/>
      <c r="D46" s="9">
        <v>2654474.59</v>
      </c>
      <c r="E46" s="14">
        <f t="shared" si="7"/>
        <v>0.029039465842954287</v>
      </c>
      <c r="F46" s="10">
        <v>603</v>
      </c>
      <c r="G46" s="14">
        <f t="shared" si="8"/>
        <v>0.03175689909416474</v>
      </c>
      <c r="H46" s="8"/>
      <c r="I46" s="8"/>
      <c r="J46" s="9">
        <v>2396329.18</v>
      </c>
      <c r="K46" s="14">
        <f t="shared" si="9"/>
        <v>0.02879707423538783</v>
      </c>
      <c r="L46" s="10">
        <v>477</v>
      </c>
      <c r="M46" s="14">
        <f t="shared" si="10"/>
        <v>0.0314125782021732</v>
      </c>
      <c r="N46" s="56"/>
      <c r="O46" s="55"/>
      <c r="P46" s="56"/>
      <c r="Q46" s="8"/>
      <c r="R46" s="9">
        <v>2191549.25</v>
      </c>
      <c r="S46" s="14">
        <v>0.02790198597807765</v>
      </c>
      <c r="T46" s="10">
        <v>431</v>
      </c>
      <c r="U46" s="14">
        <v>0.029999303960464956</v>
      </c>
      <c r="V46" s="56"/>
      <c r="W46" s="55"/>
      <c r="X46" s="56"/>
      <c r="Y46" s="9">
        <v>2196162.74</v>
      </c>
      <c r="Z46" s="14">
        <v>0.02714541037275515</v>
      </c>
      <c r="AA46" s="10">
        <v>423</v>
      </c>
      <c r="AB46" s="14">
        <v>0.029112181693048866</v>
      </c>
      <c r="AC46" s="56"/>
      <c r="AD46" s="55"/>
      <c r="AE46" s="56"/>
      <c r="AF46" s="9">
        <v>2224637.91</v>
      </c>
      <c r="AG46" s="14">
        <v>0.02770943987573884</v>
      </c>
      <c r="AH46" s="10">
        <v>417</v>
      </c>
      <c r="AI46" s="14">
        <v>0.02934966216216216</v>
      </c>
      <c r="AJ46" s="56"/>
      <c r="AK46" s="55"/>
      <c r="AL46" s="56"/>
      <c r="AM46" s="9">
        <v>2145705.84</v>
      </c>
      <c r="AN46" s="14">
        <v>0.02628553226059197</v>
      </c>
      <c r="AO46" s="10">
        <v>388</v>
      </c>
      <c r="AP46" s="14">
        <v>0.027406936497845587</v>
      </c>
      <c r="AQ46" s="56"/>
      <c r="AR46" s="55"/>
      <c r="AS46" s="56"/>
      <c r="AT46" s="9">
        <v>2186952.45</v>
      </c>
      <c r="AU46" s="14">
        <v>0.02721278169188046</v>
      </c>
      <c r="AV46" s="10">
        <v>384</v>
      </c>
      <c r="AW46" s="14">
        <v>0.027858386535113175</v>
      </c>
      <c r="AX46" s="56"/>
      <c r="AY46" s="55"/>
      <c r="AZ46" s="56"/>
      <c r="BA46" s="9">
        <v>2359462.17</v>
      </c>
      <c r="BB46" s="14">
        <v>0.028285645040132527</v>
      </c>
      <c r="BC46" s="10">
        <v>400</v>
      </c>
      <c r="BD46" s="14">
        <v>0.028569387900864225</v>
      </c>
      <c r="BE46" s="56"/>
      <c r="BF46" s="55"/>
      <c r="BG46" s="56"/>
      <c r="BH46" s="9">
        <v>2153707.21</v>
      </c>
      <c r="BI46" s="14">
        <v>0.02824081836510524</v>
      </c>
      <c r="BJ46" s="10">
        <v>362</v>
      </c>
      <c r="BK46" s="14">
        <v>0.02950525715217214</v>
      </c>
      <c r="BL46" s="56"/>
      <c r="BM46" s="55"/>
      <c r="BN46" s="56"/>
      <c r="BO46" s="9">
        <v>1974478.7</v>
      </c>
      <c r="BP46" s="14">
        <f t="shared" si="4"/>
        <v>0.02820386124290383</v>
      </c>
      <c r="BQ46" s="10">
        <v>334</v>
      </c>
      <c r="BR46" s="14">
        <f t="shared" si="5"/>
        <v>0.029445472978929736</v>
      </c>
      <c r="BS46" s="56"/>
      <c r="BT46" s="55"/>
      <c r="BU46" s="56"/>
      <c r="BV46" s="9">
        <v>1848065.76</v>
      </c>
      <c r="BW46" s="14">
        <v>0.028815765162355372</v>
      </c>
      <c r="BX46" s="10">
        <v>316</v>
      </c>
      <c r="BY46" s="14">
        <f t="shared" si="6"/>
        <v>0.03007518796992481</v>
      </c>
      <c r="BZ46" s="56"/>
      <c r="CA46" s="55"/>
      <c r="CB46" s="56"/>
      <c r="CC46" s="9">
        <v>1790109.58</v>
      </c>
      <c r="CD46" s="14">
        <v>0.030267377663317364</v>
      </c>
      <c r="CE46" s="10">
        <v>308</v>
      </c>
      <c r="CF46" s="14">
        <v>0.03132309569815926</v>
      </c>
      <c r="CG46" s="56"/>
      <c r="CH46" s="55"/>
      <c r="CI46" s="56"/>
      <c r="CJ46" s="9">
        <v>1675254.71</v>
      </c>
      <c r="CK46" s="14">
        <v>0.0307996407017138</v>
      </c>
      <c r="CL46" s="10">
        <v>291</v>
      </c>
      <c r="CM46" s="14">
        <v>0.031914893617021274</v>
      </c>
      <c r="CN46" s="56"/>
      <c r="CO46" s="55"/>
      <c r="CP46" s="56"/>
      <c r="CQ46" s="9">
        <v>1546208.98</v>
      </c>
      <c r="CR46" s="14">
        <v>0.03093761591796858</v>
      </c>
      <c r="CS46" s="10">
        <v>268</v>
      </c>
      <c r="CT46" s="14">
        <v>0.032034425053789145</v>
      </c>
      <c r="CU46" s="56"/>
      <c r="CV46" s="55"/>
      <c r="CW46" s="56"/>
      <c r="CX46" s="9">
        <v>1457598.72</v>
      </c>
      <c r="CY46" s="14">
        <v>0.03144975033513075</v>
      </c>
      <c r="CZ46" s="10">
        <v>256</v>
      </c>
      <c r="DA46" s="14">
        <v>0.03276590298220914</v>
      </c>
      <c r="DB46" s="56"/>
      <c r="DC46" s="55"/>
      <c r="DD46" s="56"/>
    </row>
    <row r="47" spans="1:108" ht="12.75">
      <c r="A47" s="8" t="s">
        <v>39</v>
      </c>
      <c r="B47" s="8"/>
      <c r="C47" s="8"/>
      <c r="D47" s="9">
        <v>4466276.94</v>
      </c>
      <c r="E47" s="14">
        <f t="shared" si="7"/>
        <v>0.04886025171719742</v>
      </c>
      <c r="F47" s="10">
        <v>915</v>
      </c>
      <c r="G47" s="14">
        <f t="shared" si="8"/>
        <v>0.048188329471244996</v>
      </c>
      <c r="H47" s="8"/>
      <c r="I47" s="8"/>
      <c r="J47" s="9">
        <v>4071840.68</v>
      </c>
      <c r="K47" s="14">
        <f t="shared" si="9"/>
        <v>0.04893196615693344</v>
      </c>
      <c r="L47" s="10">
        <v>734</v>
      </c>
      <c r="M47" s="14">
        <f t="shared" si="10"/>
        <v>0.048337174843595655</v>
      </c>
      <c r="N47" s="56"/>
      <c r="O47" s="55"/>
      <c r="P47" s="56"/>
      <c r="Q47" s="8"/>
      <c r="R47" s="9">
        <v>3977014.82</v>
      </c>
      <c r="S47" s="14">
        <v>0.05063386631272234</v>
      </c>
      <c r="T47" s="10">
        <v>722</v>
      </c>
      <c r="U47" s="14">
        <v>0.05025405443029164</v>
      </c>
      <c r="V47" s="56"/>
      <c r="W47" s="55"/>
      <c r="X47" s="56"/>
      <c r="Y47" s="9">
        <v>4329950.17</v>
      </c>
      <c r="Z47" s="14">
        <v>0.05351983808733184</v>
      </c>
      <c r="AA47" s="10">
        <v>763</v>
      </c>
      <c r="AB47" s="14">
        <v>0.052512044046799725</v>
      </c>
      <c r="AC47" s="56"/>
      <c r="AD47" s="55"/>
      <c r="AE47" s="56"/>
      <c r="AF47" s="9">
        <v>3911156.85</v>
      </c>
      <c r="AG47" s="14">
        <v>0.04871622707340232</v>
      </c>
      <c r="AH47" s="10">
        <v>703</v>
      </c>
      <c r="AI47" s="14">
        <v>0.049479166666666664</v>
      </c>
      <c r="AJ47" s="56"/>
      <c r="AK47" s="55"/>
      <c r="AL47" s="56"/>
      <c r="AM47" s="9">
        <v>4968872.94</v>
      </c>
      <c r="AN47" s="14">
        <v>0.0608701656715221</v>
      </c>
      <c r="AO47" s="10">
        <v>848</v>
      </c>
      <c r="AP47" s="14">
        <v>0.05989969626333263</v>
      </c>
      <c r="AQ47" s="56"/>
      <c r="AR47" s="55"/>
      <c r="AS47" s="56"/>
      <c r="AT47" s="9">
        <v>5094535</v>
      </c>
      <c r="AU47" s="14">
        <v>0.06339253913666218</v>
      </c>
      <c r="AV47" s="10">
        <v>868</v>
      </c>
      <c r="AW47" s="14">
        <v>0.06297156123041207</v>
      </c>
      <c r="AX47" s="56"/>
      <c r="AY47" s="55"/>
      <c r="AZ47" s="56"/>
      <c r="BA47" s="9">
        <v>5319181.369999989</v>
      </c>
      <c r="BB47" s="14">
        <v>0.06376727630937415</v>
      </c>
      <c r="BC47" s="10">
        <v>888</v>
      </c>
      <c r="BD47" s="14">
        <v>0.06342404113991858</v>
      </c>
      <c r="BE47" s="56"/>
      <c r="BF47" s="55"/>
      <c r="BG47" s="56"/>
      <c r="BH47" s="9">
        <v>4896499.46</v>
      </c>
      <c r="BI47" s="14">
        <v>0.06420610528331559</v>
      </c>
      <c r="BJ47" s="10">
        <v>806</v>
      </c>
      <c r="BK47" s="14">
        <v>0.06569402559295787</v>
      </c>
      <c r="BL47" s="56"/>
      <c r="BM47" s="55"/>
      <c r="BN47" s="56"/>
      <c r="BO47" s="9">
        <v>4509157.09</v>
      </c>
      <c r="BP47" s="14">
        <f t="shared" si="4"/>
        <v>0.06440973047154978</v>
      </c>
      <c r="BQ47" s="10">
        <v>750</v>
      </c>
      <c r="BR47" s="14">
        <f t="shared" si="5"/>
        <v>0.06612007405448295</v>
      </c>
      <c r="BS47" s="56"/>
      <c r="BT47" s="55"/>
      <c r="BU47" s="56"/>
      <c r="BV47" s="9">
        <v>4150528.7</v>
      </c>
      <c r="BW47" s="14">
        <v>0.06471666912914195</v>
      </c>
      <c r="BX47" s="10">
        <v>701</v>
      </c>
      <c r="BY47" s="14">
        <f t="shared" si="6"/>
        <v>0.06671742647758637</v>
      </c>
      <c r="BZ47" s="56"/>
      <c r="CA47" s="55"/>
      <c r="CB47" s="56"/>
      <c r="CC47" s="9">
        <v>3846618.3</v>
      </c>
      <c r="CD47" s="14">
        <v>0.0650390624761239</v>
      </c>
      <c r="CE47" s="10">
        <v>666</v>
      </c>
      <c r="CF47" s="14">
        <v>0.06773110952913658</v>
      </c>
      <c r="CG47" s="56"/>
      <c r="CH47" s="55"/>
      <c r="CI47" s="56"/>
      <c r="CJ47" s="9">
        <v>3536882.37</v>
      </c>
      <c r="CK47" s="14">
        <v>0.06502575730721324</v>
      </c>
      <c r="CL47" s="10">
        <v>620</v>
      </c>
      <c r="CM47" s="14">
        <v>0.0679973678438254</v>
      </c>
      <c r="CN47" s="56"/>
      <c r="CO47" s="55"/>
      <c r="CP47" s="56"/>
      <c r="CQ47" s="9">
        <v>3269150.38</v>
      </c>
      <c r="CR47" s="14">
        <v>0.06541141601345579</v>
      </c>
      <c r="CS47" s="10">
        <v>570</v>
      </c>
      <c r="CT47" s="14">
        <v>0.06813291895768588</v>
      </c>
      <c r="CU47" s="56"/>
      <c r="CV47" s="55"/>
      <c r="CW47" s="56"/>
      <c r="CX47" s="9">
        <v>3000657.5</v>
      </c>
      <c r="CY47" s="14">
        <v>0.06474342212391464</v>
      </c>
      <c r="CZ47" s="10">
        <v>532</v>
      </c>
      <c r="DA47" s="14">
        <v>0.06809164213490336</v>
      </c>
      <c r="DB47" s="56"/>
      <c r="DC47" s="55"/>
      <c r="DD47" s="56"/>
    </row>
    <row r="48" spans="1:108" ht="12.75">
      <c r="A48" s="8" t="s">
        <v>40</v>
      </c>
      <c r="B48" s="8"/>
      <c r="C48" s="8"/>
      <c r="D48" s="9">
        <v>9171053.420000015</v>
      </c>
      <c r="E48" s="14">
        <f t="shared" si="7"/>
        <v>0.10032964472038873</v>
      </c>
      <c r="F48" s="10">
        <v>1768</v>
      </c>
      <c r="G48" s="14">
        <f t="shared" si="8"/>
        <v>0.09311143880345481</v>
      </c>
      <c r="H48" s="8"/>
      <c r="I48" s="8"/>
      <c r="J48" s="9">
        <v>8468746.95000001</v>
      </c>
      <c r="K48" s="14">
        <f t="shared" si="9"/>
        <v>0.10177029793538822</v>
      </c>
      <c r="L48" s="10">
        <v>1450</v>
      </c>
      <c r="M48" s="14">
        <f t="shared" si="10"/>
        <v>0.09548896937767534</v>
      </c>
      <c r="N48" s="56"/>
      <c r="O48" s="55"/>
      <c r="P48" s="56"/>
      <c r="Q48" s="8"/>
      <c r="R48" s="9">
        <v>8164651.549999998</v>
      </c>
      <c r="S48" s="14">
        <v>0.10394929206541438</v>
      </c>
      <c r="T48" s="10">
        <v>1370</v>
      </c>
      <c r="U48" s="14">
        <v>0.09535741630124592</v>
      </c>
      <c r="V48" s="56"/>
      <c r="W48" s="55"/>
      <c r="X48" s="56"/>
      <c r="Y48" s="9">
        <v>8825981.240000004</v>
      </c>
      <c r="Z48" s="14">
        <v>0.10909249953946434</v>
      </c>
      <c r="AA48" s="10">
        <v>1442</v>
      </c>
      <c r="AB48" s="14">
        <v>0.09924294562973159</v>
      </c>
      <c r="AC48" s="56"/>
      <c r="AD48" s="55"/>
      <c r="AE48" s="56"/>
      <c r="AF48" s="9">
        <v>7964619.439999998</v>
      </c>
      <c r="AG48" s="14">
        <v>0.09920497286941439</v>
      </c>
      <c r="AH48" s="10">
        <v>1327</v>
      </c>
      <c r="AI48" s="14">
        <v>0.09339808558558559</v>
      </c>
      <c r="AJ48" s="56"/>
      <c r="AK48" s="55"/>
      <c r="AL48" s="56"/>
      <c r="AM48" s="9">
        <v>9863494.04000001</v>
      </c>
      <c r="AN48" s="14">
        <v>0.12083072430402529</v>
      </c>
      <c r="AO48" s="10">
        <v>1496</v>
      </c>
      <c r="AP48" s="14">
        <v>0.10567210567210568</v>
      </c>
      <c r="AQ48" s="56"/>
      <c r="AR48" s="55"/>
      <c r="AS48" s="56"/>
      <c r="AT48" s="9">
        <v>10575478.979999999</v>
      </c>
      <c r="AU48" s="14">
        <v>0.13159325927265159</v>
      </c>
      <c r="AV48" s="10">
        <v>1530</v>
      </c>
      <c r="AW48" s="14">
        <v>0.11099825885084155</v>
      </c>
      <c r="AX48" s="56"/>
      <c r="AY48" s="55"/>
      <c r="AZ48" s="56"/>
      <c r="BA48" s="9">
        <v>11308379.700000014</v>
      </c>
      <c r="BB48" s="14">
        <v>0.13556683308605058</v>
      </c>
      <c r="BC48" s="10">
        <v>1605</v>
      </c>
      <c r="BD48" s="14">
        <v>0.1146346689522177</v>
      </c>
      <c r="BE48" s="56"/>
      <c r="BF48" s="55"/>
      <c r="BG48" s="56"/>
      <c r="BH48" s="9">
        <v>10573325.830000008</v>
      </c>
      <c r="BI48" s="14">
        <v>0.13864436767154878</v>
      </c>
      <c r="BJ48" s="10">
        <v>1480</v>
      </c>
      <c r="BK48" s="14">
        <v>0.12062922813595241</v>
      </c>
      <c r="BL48" s="56"/>
      <c r="BM48" s="55"/>
      <c r="BN48" s="56"/>
      <c r="BO48" s="9">
        <v>9909185.490000015</v>
      </c>
      <c r="BP48" s="14">
        <f t="shared" si="4"/>
        <v>0.14154485059279515</v>
      </c>
      <c r="BQ48" s="10">
        <v>1397</v>
      </c>
      <c r="BR48" s="14">
        <f t="shared" si="5"/>
        <v>0.12315965793881689</v>
      </c>
      <c r="BS48" s="56"/>
      <c r="BT48" s="55"/>
      <c r="BU48" s="56"/>
      <c r="BV48" s="9">
        <v>9173965.690000005</v>
      </c>
      <c r="BW48" s="14">
        <v>0.14304406620819907</v>
      </c>
      <c r="BX48" s="10">
        <v>1315</v>
      </c>
      <c r="BY48" s="14">
        <f t="shared" si="6"/>
        <v>0.12515465879889598</v>
      </c>
      <c r="BZ48" s="56"/>
      <c r="CA48" s="55"/>
      <c r="CB48" s="56"/>
      <c r="CC48" s="9">
        <v>8505989.32</v>
      </c>
      <c r="CD48" s="14">
        <v>0.1438202409645694</v>
      </c>
      <c r="CE48" s="10">
        <v>1236</v>
      </c>
      <c r="CF48" s="14">
        <v>0.1256991762432625</v>
      </c>
      <c r="CG48" s="56"/>
      <c r="CH48" s="55"/>
      <c r="CI48" s="56"/>
      <c r="CJ48" s="9">
        <v>7921515.590000009</v>
      </c>
      <c r="CK48" s="14">
        <v>0.1456374559215683</v>
      </c>
      <c r="CL48" s="10">
        <v>1155</v>
      </c>
      <c r="CM48" s="14">
        <v>0.12667251590261022</v>
      </c>
      <c r="CN48" s="56"/>
      <c r="CO48" s="55"/>
      <c r="CP48" s="56"/>
      <c r="CQ48" s="9">
        <v>7205914.230000004</v>
      </c>
      <c r="CR48" s="14">
        <v>0.14418090288517438</v>
      </c>
      <c r="CS48" s="10">
        <v>1039</v>
      </c>
      <c r="CT48" s="14">
        <v>0.12419316280181687</v>
      </c>
      <c r="CU48" s="56"/>
      <c r="CV48" s="55"/>
      <c r="CW48" s="56"/>
      <c r="CX48" s="9">
        <v>6734759.110000003</v>
      </c>
      <c r="CY48" s="14">
        <v>0.14531193645446364</v>
      </c>
      <c r="CZ48" s="10">
        <v>978</v>
      </c>
      <c r="DA48" s="14">
        <v>0.12517598873672084</v>
      </c>
      <c r="DB48" s="56"/>
      <c r="DC48" s="55"/>
      <c r="DD48" s="56"/>
    </row>
    <row r="49" spans="1:108" ht="12.75">
      <c r="A49" s="8" t="s">
        <v>41</v>
      </c>
      <c r="B49" s="8"/>
      <c r="C49" s="8"/>
      <c r="D49" s="9">
        <v>0</v>
      </c>
      <c r="E49" s="14">
        <f t="shared" si="7"/>
        <v>0</v>
      </c>
      <c r="F49" s="10">
        <v>0</v>
      </c>
      <c r="G49" s="14">
        <f t="shared" si="8"/>
        <v>0</v>
      </c>
      <c r="H49" s="8"/>
      <c r="I49" s="8"/>
      <c r="J49" s="9">
        <v>0</v>
      </c>
      <c r="K49" s="14">
        <f t="shared" si="9"/>
        <v>0</v>
      </c>
      <c r="L49" s="10">
        <v>0</v>
      </c>
      <c r="M49" s="14">
        <f t="shared" si="10"/>
        <v>0</v>
      </c>
      <c r="N49" s="56"/>
      <c r="O49" s="55"/>
      <c r="P49" s="56"/>
      <c r="Q49" s="8"/>
      <c r="R49" s="9">
        <v>2547758.54</v>
      </c>
      <c r="S49" s="14">
        <v>0.03243710952816032</v>
      </c>
      <c r="T49" s="10">
        <v>510</v>
      </c>
      <c r="U49" s="14">
        <v>0.03549801628732512</v>
      </c>
      <c r="V49" s="56"/>
      <c r="W49" s="55"/>
      <c r="X49" s="56"/>
      <c r="Y49" s="9">
        <v>2419413.57</v>
      </c>
      <c r="Z49" s="14">
        <v>0.0299048759105451</v>
      </c>
      <c r="AA49" s="10">
        <v>501</v>
      </c>
      <c r="AB49" s="14">
        <v>0.03448038540949759</v>
      </c>
      <c r="AC49" s="56"/>
      <c r="AD49" s="55"/>
      <c r="AE49" s="56"/>
      <c r="AF49" s="9">
        <v>2115251.55</v>
      </c>
      <c r="AG49" s="14">
        <v>0.02634695533296401</v>
      </c>
      <c r="AH49" s="10">
        <v>459</v>
      </c>
      <c r="AI49" s="14">
        <v>0.03230574324324324</v>
      </c>
      <c r="AJ49" s="56"/>
      <c r="AK49" s="55"/>
      <c r="AL49" s="56"/>
      <c r="AM49" s="9">
        <v>2288224.47</v>
      </c>
      <c r="AN49" s="14">
        <v>0.028031427702904965</v>
      </c>
      <c r="AO49" s="10">
        <v>457</v>
      </c>
      <c r="AP49" s="14">
        <v>0.032280850462668646</v>
      </c>
      <c r="AQ49" s="56"/>
      <c r="AR49" s="55"/>
      <c r="AS49" s="56"/>
      <c r="AT49" s="9">
        <v>2121370.25</v>
      </c>
      <c r="AU49" s="14">
        <v>0.02639672641300448</v>
      </c>
      <c r="AV49" s="10">
        <v>429</v>
      </c>
      <c r="AW49" s="14">
        <v>0.03112304120719675</v>
      </c>
      <c r="AX49" s="56"/>
      <c r="AY49" s="55"/>
      <c r="AZ49" s="56"/>
      <c r="BA49" s="9">
        <v>2095705.99</v>
      </c>
      <c r="BB49" s="14">
        <v>0.025123689837171448</v>
      </c>
      <c r="BC49" s="10">
        <v>418</v>
      </c>
      <c r="BD49" s="14">
        <v>0.029855010356403113</v>
      </c>
      <c r="BE49" s="56"/>
      <c r="BF49" s="55"/>
      <c r="BG49" s="56"/>
      <c r="BH49" s="9">
        <v>1214071.16</v>
      </c>
      <c r="BI49" s="14">
        <v>0.015919695561530195</v>
      </c>
      <c r="BJ49" s="10">
        <v>298</v>
      </c>
      <c r="BK49" s="14">
        <v>0.02428885809764447</v>
      </c>
      <c r="BL49" s="56"/>
      <c r="BM49" s="55"/>
      <c r="BN49" s="56"/>
      <c r="BO49" s="9">
        <v>673242.95</v>
      </c>
      <c r="BP49" s="14">
        <f t="shared" si="4"/>
        <v>0.009616741241403739</v>
      </c>
      <c r="BQ49" s="10">
        <v>72</v>
      </c>
      <c r="BR49" s="14">
        <f t="shared" si="5"/>
        <v>0.006347527109230362</v>
      </c>
      <c r="BS49" s="56"/>
      <c r="BT49" s="55"/>
      <c r="BU49" s="56"/>
      <c r="BV49" s="9">
        <v>546536.31</v>
      </c>
      <c r="BW49" s="14">
        <v>0.008521808207550073</v>
      </c>
      <c r="BX49" s="10">
        <v>58</v>
      </c>
      <c r="BY49" s="14">
        <f t="shared" si="6"/>
        <v>0.005520129437517845</v>
      </c>
      <c r="BZ49" s="56"/>
      <c r="CA49" s="55"/>
      <c r="CB49" s="56"/>
      <c r="CC49" s="9">
        <v>841774.34</v>
      </c>
      <c r="CD49" s="14">
        <v>0.014232816884913674</v>
      </c>
      <c r="CE49" s="10">
        <v>208</v>
      </c>
      <c r="CF49" s="14">
        <v>0.021153259432523136</v>
      </c>
      <c r="CG49" s="56"/>
      <c r="CH49" s="55"/>
      <c r="CI49" s="56"/>
      <c r="CJ49" s="9">
        <v>755263.6</v>
      </c>
      <c r="CK49" s="14">
        <v>0.013885558641457497</v>
      </c>
      <c r="CL49" s="10">
        <v>183</v>
      </c>
      <c r="CM49" s="14">
        <v>0.020070190831322658</v>
      </c>
      <c r="CN49" s="56"/>
      <c r="CO49" s="55"/>
      <c r="CP49" s="56"/>
      <c r="CQ49" s="9">
        <v>675458.01</v>
      </c>
      <c r="CR49" s="14">
        <v>0.013515029826107583</v>
      </c>
      <c r="CS49" s="10">
        <v>162</v>
      </c>
      <c r="CT49" s="14">
        <v>0.019364092756394932</v>
      </c>
      <c r="CU49" s="56"/>
      <c r="CV49" s="55"/>
      <c r="CW49" s="56"/>
      <c r="CX49" s="9">
        <v>616432.06</v>
      </c>
      <c r="CY49" s="14">
        <v>0.013300392021180107</v>
      </c>
      <c r="CZ49" s="10">
        <v>147</v>
      </c>
      <c r="DA49" s="14">
        <v>0.018814795853065405</v>
      </c>
      <c r="DB49" s="56"/>
      <c r="DC49" s="55"/>
      <c r="DD49" s="56"/>
    </row>
    <row r="50" spans="1:108" ht="12.75">
      <c r="A50" s="8" t="s">
        <v>105</v>
      </c>
      <c r="B50" s="8"/>
      <c r="C50" s="8"/>
      <c r="D50" s="9">
        <v>5021971.84</v>
      </c>
      <c r="E50" s="14">
        <f t="shared" si="7"/>
        <v>0.05493945214670836</v>
      </c>
      <c r="F50" s="10">
        <v>1097</v>
      </c>
      <c r="G50" s="14">
        <f t="shared" si="8"/>
        <v>0.05777333052454182</v>
      </c>
      <c r="H50" s="8"/>
      <c r="I50" s="8"/>
      <c r="J50" s="9">
        <v>4614058.3299999945</v>
      </c>
      <c r="K50" s="14">
        <f t="shared" si="9"/>
        <v>0.055447883105700625</v>
      </c>
      <c r="L50" s="10">
        <v>882</v>
      </c>
      <c r="M50" s="14">
        <f t="shared" si="10"/>
        <v>0.05808363516628252</v>
      </c>
      <c r="N50" s="56"/>
      <c r="O50" s="55"/>
      <c r="P50" s="56"/>
      <c r="Q50" s="8"/>
      <c r="R50" s="9">
        <v>1709792.26</v>
      </c>
      <c r="S50" s="14">
        <v>0.021768436033981757</v>
      </c>
      <c r="T50" s="10">
        <v>315</v>
      </c>
      <c r="U50" s="14">
        <v>0.021925245353936102</v>
      </c>
      <c r="V50" s="56"/>
      <c r="W50" s="55"/>
      <c r="X50" s="56"/>
      <c r="Y50" s="9">
        <v>1624154.42</v>
      </c>
      <c r="Z50" s="14">
        <v>0.020075169037620664</v>
      </c>
      <c r="AA50" s="10">
        <v>447</v>
      </c>
      <c r="AB50" s="14">
        <v>0.030763936682725396</v>
      </c>
      <c r="AC50" s="56"/>
      <c r="AD50" s="55"/>
      <c r="AE50" s="56"/>
      <c r="AF50" s="9">
        <v>1401620.52</v>
      </c>
      <c r="AG50" s="14">
        <v>0.017458175711633817</v>
      </c>
      <c r="AH50" s="10">
        <v>269</v>
      </c>
      <c r="AI50" s="14">
        <v>0.018932995495495496</v>
      </c>
      <c r="AJ50" s="56"/>
      <c r="AK50" s="55"/>
      <c r="AL50" s="56"/>
      <c r="AM50" s="9">
        <v>1366745.11</v>
      </c>
      <c r="AN50" s="14">
        <v>0.016743032530922925</v>
      </c>
      <c r="AO50" s="10">
        <v>595</v>
      </c>
      <c r="AP50" s="14">
        <v>0.04202867839231476</v>
      </c>
      <c r="AQ50" s="56"/>
      <c r="AR50" s="55"/>
      <c r="AS50" s="56"/>
      <c r="AT50" s="9">
        <v>1261826.23</v>
      </c>
      <c r="AU50" s="14">
        <v>0.015701210938572775</v>
      </c>
      <c r="AV50" s="10">
        <v>687</v>
      </c>
      <c r="AW50" s="14">
        <v>0.04984039466047591</v>
      </c>
      <c r="AX50" s="56"/>
      <c r="AY50" s="55"/>
      <c r="AZ50" s="56"/>
      <c r="BA50" s="9">
        <v>1197189.15</v>
      </c>
      <c r="BB50" s="14">
        <v>0.014352112855786104</v>
      </c>
      <c r="BC50" s="10">
        <v>714</v>
      </c>
      <c r="BD50" s="14">
        <v>0.05099635740304264</v>
      </c>
      <c r="BE50" s="56"/>
      <c r="BF50" s="55"/>
      <c r="BG50" s="56"/>
      <c r="BH50" s="9">
        <v>1740729.51</v>
      </c>
      <c r="BI50" s="14">
        <v>0.022825584502123943</v>
      </c>
      <c r="BJ50" s="10">
        <v>266</v>
      </c>
      <c r="BK50" s="14">
        <v>0.021680658570380634</v>
      </c>
      <c r="BL50" s="56"/>
      <c r="BM50" s="55"/>
      <c r="BN50" s="56"/>
      <c r="BO50" s="9">
        <v>1546084.19</v>
      </c>
      <c r="BP50" s="14">
        <f t="shared" si="4"/>
        <v>0.022084585650180656</v>
      </c>
      <c r="BQ50" s="10">
        <v>234</v>
      </c>
      <c r="BR50" s="14">
        <f t="shared" si="5"/>
        <v>0.020629463104998677</v>
      </c>
      <c r="BS50" s="56"/>
      <c r="BT50" s="55"/>
      <c r="BU50" s="56"/>
      <c r="BV50" s="9">
        <v>1532001.15</v>
      </c>
      <c r="BW50" s="14">
        <v>0.02388756197012078</v>
      </c>
      <c r="BX50" s="10">
        <v>227</v>
      </c>
      <c r="BY50" s="14">
        <f t="shared" si="6"/>
        <v>0.021604644522699154</v>
      </c>
      <c r="BZ50" s="56"/>
      <c r="CA50" s="55"/>
      <c r="CB50" s="56"/>
      <c r="CC50" s="9">
        <v>1414045.03</v>
      </c>
      <c r="CD50" s="14">
        <v>0.023908835209935544</v>
      </c>
      <c r="CE50" s="10">
        <v>211</v>
      </c>
      <c r="CF50" s="14">
        <v>0.02145835452049222</v>
      </c>
      <c r="CG50" s="56"/>
      <c r="CH50" s="55"/>
      <c r="CI50" s="56"/>
      <c r="CJ50" s="9">
        <v>1343494</v>
      </c>
      <c r="CK50" s="14">
        <v>0.024700203639426422</v>
      </c>
      <c r="CL50" s="10">
        <v>200</v>
      </c>
      <c r="CM50" s="14">
        <v>0.021934634788330774</v>
      </c>
      <c r="CN50" s="56"/>
      <c r="CO50" s="55"/>
      <c r="CP50" s="56"/>
      <c r="CQ50" s="9">
        <v>1275804.36</v>
      </c>
      <c r="CR50" s="14">
        <v>0.025527173743454618</v>
      </c>
      <c r="CS50" s="10">
        <v>189</v>
      </c>
      <c r="CT50" s="14">
        <v>0.02259144154912742</v>
      </c>
      <c r="CU50" s="56"/>
      <c r="CV50" s="55"/>
      <c r="CW50" s="56"/>
      <c r="CX50" s="9">
        <v>1221552.73</v>
      </c>
      <c r="CY50" s="14">
        <v>0.026356724832810915</v>
      </c>
      <c r="CZ50" s="10">
        <v>181</v>
      </c>
      <c r="DA50" s="14">
        <v>0.023166517342890054</v>
      </c>
      <c r="DB50" s="56"/>
      <c r="DC50" s="55"/>
      <c r="DD50" s="56"/>
    </row>
    <row r="51" spans="1:108" ht="12.75">
      <c r="A51" s="8"/>
      <c r="B51" s="8"/>
      <c r="C51" s="8"/>
      <c r="D51" s="9"/>
      <c r="E51" s="8"/>
      <c r="F51" s="10"/>
      <c r="G51" s="8"/>
      <c r="H51" s="8"/>
      <c r="I51" s="8"/>
      <c r="J51" s="9"/>
      <c r="K51" s="8"/>
      <c r="L51" s="10"/>
      <c r="M51" s="8"/>
      <c r="N51" s="54"/>
      <c r="O51" s="55"/>
      <c r="P51" s="54"/>
      <c r="Q51" s="8"/>
      <c r="R51" s="9"/>
      <c r="S51" s="8"/>
      <c r="T51" s="10"/>
      <c r="U51" s="8"/>
      <c r="V51" s="54"/>
      <c r="W51" s="55"/>
      <c r="X51" s="54"/>
      <c r="Y51" s="9"/>
      <c r="Z51" s="8"/>
      <c r="AA51" s="10"/>
      <c r="AB51" s="8"/>
      <c r="AC51" s="54"/>
      <c r="AD51" s="55"/>
      <c r="AE51" s="54"/>
      <c r="AF51" s="9"/>
      <c r="AG51" s="8"/>
      <c r="AH51" s="10"/>
      <c r="AI51" s="8"/>
      <c r="AJ51" s="54"/>
      <c r="AK51" s="55"/>
      <c r="AL51" s="54"/>
      <c r="AM51" s="9"/>
      <c r="AN51" s="8"/>
      <c r="AO51" s="10"/>
      <c r="AP51" s="8"/>
      <c r="AQ51" s="54"/>
      <c r="AR51" s="55"/>
      <c r="AS51" s="54"/>
      <c r="AT51" s="9"/>
      <c r="AU51" s="8"/>
      <c r="AV51" s="10"/>
      <c r="AW51" s="8"/>
      <c r="AX51" s="54"/>
      <c r="AY51" s="55"/>
      <c r="AZ51" s="54"/>
      <c r="BA51" s="9"/>
      <c r="BB51" s="8"/>
      <c r="BC51" s="10"/>
      <c r="BD51" s="8"/>
      <c r="BE51" s="54"/>
      <c r="BF51" s="55"/>
      <c r="BG51" s="54"/>
      <c r="BH51" s="9"/>
      <c r="BI51" s="8"/>
      <c r="BJ51" s="10"/>
      <c r="BK51" s="8"/>
      <c r="BL51" s="54"/>
      <c r="BM51" s="55"/>
      <c r="BN51" s="54"/>
      <c r="BO51" s="9"/>
      <c r="BP51" s="8"/>
      <c r="BQ51" s="10"/>
      <c r="BR51" s="8"/>
      <c r="BS51" s="54"/>
      <c r="BT51" s="55"/>
      <c r="BU51" s="54"/>
      <c r="BV51" s="9"/>
      <c r="BW51" s="8"/>
      <c r="BX51" s="10"/>
      <c r="BY51" s="8"/>
      <c r="BZ51" s="54"/>
      <c r="CA51" s="55"/>
      <c r="CB51" s="54"/>
      <c r="CC51" s="9"/>
      <c r="CD51" s="8"/>
      <c r="CE51" s="10"/>
      <c r="CF51" s="8"/>
      <c r="CG51" s="54"/>
      <c r="CH51" s="55"/>
      <c r="CI51" s="54"/>
      <c r="CJ51" s="9"/>
      <c r="CK51" s="8"/>
      <c r="CL51" s="10"/>
      <c r="CM51" s="8"/>
      <c r="CN51" s="54"/>
      <c r="CO51" s="55"/>
      <c r="CP51" s="54"/>
      <c r="CQ51" s="9"/>
      <c r="CR51" s="8"/>
      <c r="CS51" s="10"/>
      <c r="CT51" s="8"/>
      <c r="CU51" s="54"/>
      <c r="CV51" s="55"/>
      <c r="CW51" s="54"/>
      <c r="CX51" s="9"/>
      <c r="CY51" s="8"/>
      <c r="CZ51" s="10"/>
      <c r="DA51" s="8"/>
      <c r="DB51" s="54"/>
      <c r="DC51" s="55"/>
      <c r="DD51" s="54"/>
    </row>
    <row r="52" spans="1:108" ht="13.5" thickBot="1">
      <c r="A52" s="8"/>
      <c r="B52" s="12"/>
      <c r="C52" s="12"/>
      <c r="D52" s="21">
        <f>SUM(D38:D50)</f>
        <v>91409208.57000002</v>
      </c>
      <c r="E52" s="23"/>
      <c r="F52" s="22">
        <f>SUM(F38:F50)</f>
        <v>18988</v>
      </c>
      <c r="G52" s="23"/>
      <c r="H52" s="8"/>
      <c r="I52" s="8"/>
      <c r="J52" s="21">
        <f>SUM(J38:J50)</f>
        <v>83214327.97000001</v>
      </c>
      <c r="K52" s="23"/>
      <c r="L52" s="22">
        <f>SUM(L38:L50)</f>
        <v>15185</v>
      </c>
      <c r="M52" s="23"/>
      <c r="N52" s="57"/>
      <c r="O52" s="31"/>
      <c r="P52" s="57"/>
      <c r="Q52" s="8"/>
      <c r="R52" s="21">
        <v>78544561.37000003</v>
      </c>
      <c r="S52" s="23"/>
      <c r="T52" s="22">
        <v>14367</v>
      </c>
      <c r="U52" s="23"/>
      <c r="V52" s="57"/>
      <c r="W52" s="31"/>
      <c r="X52" s="57"/>
      <c r="Y52" s="21">
        <f>SUM(Y38:Y51)</f>
        <v>80903648.52999994</v>
      </c>
      <c r="Z52" s="23"/>
      <c r="AA52" s="22">
        <f>SUM(AA38:AA51)</f>
        <v>14530</v>
      </c>
      <c r="AB52" s="23"/>
      <c r="AC52" s="57"/>
      <c r="AD52" s="31"/>
      <c r="AE52" s="57"/>
      <c r="AF52" s="21">
        <f>SUM(AF38:AF51)</f>
        <v>80284477.77999996</v>
      </c>
      <c r="AG52" s="23"/>
      <c r="AH52" s="22">
        <f>SUM(AH38:AH51)</f>
        <v>14208</v>
      </c>
      <c r="AI52" s="23"/>
      <c r="AJ52" s="57"/>
      <c r="AK52" s="31"/>
      <c r="AL52" s="57"/>
      <c r="AM52" s="21">
        <f>SUM(AM38:AM51)</f>
        <v>81630678.75999998</v>
      </c>
      <c r="AN52" s="23"/>
      <c r="AO52" s="22">
        <f>SUM(AO38:AO51)</f>
        <v>14157</v>
      </c>
      <c r="AP52" s="23"/>
      <c r="AQ52" s="57"/>
      <c r="AR52" s="31"/>
      <c r="AS52" s="57"/>
      <c r="AT52" s="21">
        <f>SUM(AT38:AT51)</f>
        <v>80364898.92000002</v>
      </c>
      <c r="AU52" s="23"/>
      <c r="AV52" s="22">
        <f>SUM(AV38:AV51)</f>
        <v>13784</v>
      </c>
      <c r="AW52" s="23"/>
      <c r="AX52" s="57"/>
      <c r="AY52" s="31"/>
      <c r="AZ52" s="57"/>
      <c r="BA52" s="21">
        <f>SUM(BA38:BA51)</f>
        <v>83415533.44999996</v>
      </c>
      <c r="BB52" s="23"/>
      <c r="BC52" s="22">
        <f>SUM(BC38:BC51)</f>
        <v>14001</v>
      </c>
      <c r="BD52" s="23"/>
      <c r="BE52" s="57"/>
      <c r="BF52" s="31"/>
      <c r="BG52" s="57"/>
      <c r="BH52" s="21">
        <f>SUM(BH38:BH51)</f>
        <v>76262209.62</v>
      </c>
      <c r="BI52" s="23"/>
      <c r="BJ52" s="22">
        <f>SUM(BJ38:BJ51)</f>
        <v>12269</v>
      </c>
      <c r="BK52" s="23"/>
      <c r="BL52" s="57"/>
      <c r="BM52" s="31"/>
      <c r="BN52" s="57"/>
      <c r="BO52" s="21">
        <f>SUM(BO38:BO51)</f>
        <v>70007389.52000001</v>
      </c>
      <c r="BP52" s="23"/>
      <c r="BQ52" s="22">
        <f>SUM(BQ38:BQ51)</f>
        <v>11343</v>
      </c>
      <c r="BR52" s="23"/>
      <c r="BS52" s="57"/>
      <c r="BT52" s="31"/>
      <c r="BU52" s="57"/>
      <c r="BV52" s="21">
        <f>SUM(BV38:BV51)</f>
        <v>64133843.03999999</v>
      </c>
      <c r="BW52" s="23"/>
      <c r="BX52" s="22">
        <f>SUM(BX38:BX51)</f>
        <v>10507</v>
      </c>
      <c r="BY52" s="23"/>
      <c r="BZ52" s="57"/>
      <c r="CA52" s="31"/>
      <c r="CB52" s="57"/>
      <c r="CC52" s="21">
        <f>SUM(CC38:CC51)</f>
        <v>59143200.310000025</v>
      </c>
      <c r="CD52" s="23"/>
      <c r="CE52" s="22">
        <f>SUM(CE38:CE51)</f>
        <v>9833</v>
      </c>
      <c r="CF52" s="23"/>
      <c r="CG52" s="57"/>
      <c r="CH52" s="31"/>
      <c r="CI52" s="57"/>
      <c r="CJ52" s="21">
        <f>SUM(CJ38:CJ51)</f>
        <v>54392328.30000001</v>
      </c>
      <c r="CK52" s="23"/>
      <c r="CL52" s="22">
        <f>SUM(CL38:CL51)</f>
        <v>9119</v>
      </c>
      <c r="CM52" s="23"/>
      <c r="CN52" s="57"/>
      <c r="CO52" s="31"/>
      <c r="CP52" s="57"/>
      <c r="CQ52" s="21">
        <f>SUM(CQ38:CQ51)</f>
        <v>49978284.82</v>
      </c>
      <c r="CR52" s="23"/>
      <c r="CS52" s="22">
        <f>SUM(CS38:CS51)</f>
        <v>8366</v>
      </c>
      <c r="CT52" s="23"/>
      <c r="CU52" s="57"/>
      <c r="CV52" s="31"/>
      <c r="CW52" s="57"/>
      <c r="CX52" s="21">
        <f>SUM(CX38:CX51)</f>
        <v>46346909.1</v>
      </c>
      <c r="CY52" s="23"/>
      <c r="CZ52" s="22">
        <f>SUM(CZ38:CZ51)</f>
        <v>7813</v>
      </c>
      <c r="DA52" s="23"/>
      <c r="DB52" s="57"/>
      <c r="DC52" s="31"/>
      <c r="DD52" s="57"/>
    </row>
    <row r="53" spans="1:108" ht="13.5" thickTop="1">
      <c r="A53" s="8"/>
      <c r="B53" s="8"/>
      <c r="C53" s="8"/>
      <c r="D53" s="9"/>
      <c r="E53" s="8"/>
      <c r="F53" s="10"/>
      <c r="G53" s="8"/>
      <c r="H53" s="8"/>
      <c r="I53" s="8"/>
      <c r="J53" s="9"/>
      <c r="K53" s="8"/>
      <c r="L53" s="10"/>
      <c r="M53" s="8"/>
      <c r="N53" s="54"/>
      <c r="O53" s="55"/>
      <c r="P53" s="54"/>
      <c r="Q53" s="8"/>
      <c r="R53" s="9"/>
      <c r="S53" s="8"/>
      <c r="T53" s="10"/>
      <c r="U53" s="8"/>
      <c r="V53" s="54"/>
      <c r="W53" s="55"/>
      <c r="X53" s="54"/>
      <c r="Y53" s="9"/>
      <c r="Z53" s="8"/>
      <c r="AA53" s="10"/>
      <c r="AB53" s="8"/>
      <c r="AC53" s="54"/>
      <c r="AD53" s="55"/>
      <c r="AE53" s="54"/>
      <c r="AF53" s="9"/>
      <c r="AG53" s="8"/>
      <c r="AH53" s="10"/>
      <c r="AI53" s="8"/>
      <c r="AJ53" s="54"/>
      <c r="AK53" s="55"/>
      <c r="AL53" s="54"/>
      <c r="AM53" s="9"/>
      <c r="AN53" s="8"/>
      <c r="AO53" s="10"/>
      <c r="AP53" s="8"/>
      <c r="AQ53" s="54"/>
      <c r="AR53" s="55"/>
      <c r="AS53" s="54"/>
      <c r="AT53" s="9"/>
      <c r="AU53" s="8"/>
      <c r="AV53" s="10"/>
      <c r="AW53" s="8"/>
      <c r="AX53" s="54"/>
      <c r="AY53" s="55"/>
      <c r="AZ53" s="54"/>
      <c r="BA53" s="9"/>
      <c r="BB53" s="8"/>
      <c r="BC53" s="10"/>
      <c r="BD53" s="8"/>
      <c r="BE53" s="54"/>
      <c r="BF53" s="55"/>
      <c r="BG53" s="54"/>
      <c r="BH53" s="9"/>
      <c r="BI53" s="8"/>
      <c r="BJ53" s="10"/>
      <c r="BK53" s="8"/>
      <c r="BL53" s="54"/>
      <c r="BM53" s="55"/>
      <c r="BN53" s="54"/>
      <c r="BO53" s="9"/>
      <c r="BP53" s="8"/>
      <c r="BQ53" s="10"/>
      <c r="BR53" s="8"/>
      <c r="BS53" s="54"/>
      <c r="BT53" s="55"/>
      <c r="BU53" s="54"/>
      <c r="BV53" s="9"/>
      <c r="BW53" s="8"/>
      <c r="BX53" s="10"/>
      <c r="BY53" s="8"/>
      <c r="BZ53" s="54"/>
      <c r="CA53" s="55"/>
      <c r="CB53" s="54"/>
      <c r="CC53" s="9"/>
      <c r="CD53" s="8"/>
      <c r="CE53" s="10"/>
      <c r="CF53" s="8"/>
      <c r="CG53" s="54"/>
      <c r="CH53" s="55"/>
      <c r="CI53" s="54"/>
      <c r="CJ53" s="9"/>
      <c r="CK53" s="8"/>
      <c r="CL53" s="10"/>
      <c r="CM53" s="8"/>
      <c r="CN53" s="54"/>
      <c r="CO53" s="55"/>
      <c r="CP53" s="54"/>
      <c r="CQ53" s="9"/>
      <c r="CR53" s="8"/>
      <c r="CS53" s="10"/>
      <c r="CT53" s="8"/>
      <c r="CU53" s="54"/>
      <c r="CV53" s="55"/>
      <c r="CW53" s="54"/>
      <c r="CX53" s="9"/>
      <c r="CY53" s="8"/>
      <c r="CZ53" s="10"/>
      <c r="DA53" s="8"/>
      <c r="DB53" s="54"/>
      <c r="DC53" s="55"/>
      <c r="DD53" s="54"/>
    </row>
    <row r="54" spans="1:108" ht="12.75">
      <c r="A54" s="8"/>
      <c r="B54" s="8"/>
      <c r="C54" s="8"/>
      <c r="D54" s="9"/>
      <c r="E54" s="8"/>
      <c r="F54" s="10"/>
      <c r="G54" s="8"/>
      <c r="H54" s="8"/>
      <c r="I54" s="8"/>
      <c r="J54" s="8"/>
      <c r="K54" s="8"/>
      <c r="L54" s="8"/>
      <c r="M54" s="9"/>
      <c r="N54" s="54"/>
      <c r="O54" s="55"/>
      <c r="P54" s="54"/>
      <c r="Q54" s="8"/>
      <c r="R54" s="8"/>
      <c r="S54" s="8"/>
      <c r="T54" s="8"/>
      <c r="U54" s="9"/>
      <c r="V54" s="54"/>
      <c r="W54" s="55"/>
      <c r="X54" s="54"/>
      <c r="Y54" s="8"/>
      <c r="Z54" s="8"/>
      <c r="AA54" s="8"/>
      <c r="AB54" s="9"/>
      <c r="AC54" s="54"/>
      <c r="AD54" s="55"/>
      <c r="AE54" s="54"/>
      <c r="AF54" s="8"/>
      <c r="AG54" s="8"/>
      <c r="AH54" s="8"/>
      <c r="AI54" s="9"/>
      <c r="AJ54" s="54"/>
      <c r="AK54" s="55"/>
      <c r="AL54" s="54"/>
      <c r="AM54" s="8"/>
      <c r="AN54" s="8"/>
      <c r="AO54" s="8"/>
      <c r="AP54" s="9"/>
      <c r="AQ54" s="54"/>
      <c r="AR54" s="55"/>
      <c r="AS54" s="54"/>
      <c r="AT54" s="8"/>
      <c r="AU54" s="8"/>
      <c r="AV54" s="8"/>
      <c r="AW54" s="9"/>
      <c r="AX54" s="54"/>
      <c r="AY54" s="55"/>
      <c r="AZ54" s="54"/>
      <c r="BA54" s="8"/>
      <c r="BB54" s="8"/>
      <c r="BC54" s="8"/>
      <c r="BD54" s="9"/>
      <c r="BE54" s="54"/>
      <c r="BF54" s="55"/>
      <c r="BG54" s="54"/>
      <c r="BH54" s="8"/>
      <c r="BI54" s="8"/>
      <c r="BJ54" s="8"/>
      <c r="BK54" s="9"/>
      <c r="BL54" s="54"/>
      <c r="BM54" s="55"/>
      <c r="BN54" s="54"/>
      <c r="BO54" s="8"/>
      <c r="BP54" s="8"/>
      <c r="BQ54" s="8"/>
      <c r="BR54" s="9"/>
      <c r="BS54" s="54"/>
      <c r="BT54" s="55"/>
      <c r="BU54" s="54"/>
      <c r="BV54" s="8"/>
      <c r="BW54" s="8"/>
      <c r="BX54" s="8"/>
      <c r="BY54" s="9"/>
      <c r="BZ54" s="54"/>
      <c r="CA54" s="55"/>
      <c r="CB54" s="54"/>
      <c r="CC54" s="8"/>
      <c r="CD54" s="8"/>
      <c r="CE54" s="8"/>
      <c r="CF54" s="9"/>
      <c r="CG54" s="54"/>
      <c r="CH54" s="55"/>
      <c r="CI54" s="54"/>
      <c r="CJ54" s="32"/>
      <c r="CK54" s="95"/>
      <c r="CL54" s="8"/>
      <c r="CM54" s="9"/>
      <c r="CN54" s="54"/>
      <c r="CO54" s="55"/>
      <c r="CP54" s="54"/>
      <c r="CQ54" s="32"/>
      <c r="CR54" s="95"/>
      <c r="CS54" s="8"/>
      <c r="CT54" s="9"/>
      <c r="CU54" s="54"/>
      <c r="CV54" s="55"/>
      <c r="CW54" s="54"/>
      <c r="CX54" s="32"/>
      <c r="CY54" s="95"/>
      <c r="CZ54" s="8"/>
      <c r="DA54" s="9"/>
      <c r="DB54" s="54"/>
      <c r="DC54" s="55"/>
      <c r="DD54" s="54"/>
    </row>
    <row r="55" spans="1:108" ht="12.75">
      <c r="A55" s="19" t="s">
        <v>121</v>
      </c>
      <c r="B55" s="8"/>
      <c r="C55" s="8"/>
      <c r="D55" s="9"/>
      <c r="E55" s="8"/>
      <c r="F55" s="10"/>
      <c r="G55" s="8"/>
      <c r="H55" s="8"/>
      <c r="I55" s="8"/>
      <c r="J55" s="19" t="s">
        <v>121</v>
      </c>
      <c r="K55" s="8"/>
      <c r="L55" s="8"/>
      <c r="M55" s="9"/>
      <c r="N55" s="8"/>
      <c r="O55" s="10"/>
      <c r="P55" s="8"/>
      <c r="Q55" s="8"/>
      <c r="R55" s="19" t="s">
        <v>121</v>
      </c>
      <c r="S55" s="8"/>
      <c r="T55" s="8"/>
      <c r="U55" s="9"/>
      <c r="V55" s="8"/>
      <c r="W55" s="10"/>
      <c r="X55" s="8"/>
      <c r="Y55" s="19" t="s">
        <v>121</v>
      </c>
      <c r="Z55" s="8"/>
      <c r="AA55" s="8"/>
      <c r="AB55" s="9"/>
      <c r="AC55" s="8"/>
      <c r="AD55" s="10"/>
      <c r="AE55" s="8"/>
      <c r="AF55" s="19" t="s">
        <v>121</v>
      </c>
      <c r="AG55" s="8"/>
      <c r="AH55" s="8"/>
      <c r="AI55" s="9"/>
      <c r="AJ55" s="8"/>
      <c r="AK55" s="10"/>
      <c r="AL55" s="8"/>
      <c r="AM55" s="19" t="s">
        <v>121</v>
      </c>
      <c r="AN55" s="8"/>
      <c r="AO55" s="8"/>
      <c r="AP55" s="9"/>
      <c r="AQ55" s="8"/>
      <c r="AR55" s="10"/>
      <c r="AS55" s="8"/>
      <c r="AT55" s="19" t="s">
        <v>121</v>
      </c>
      <c r="AU55" s="8"/>
      <c r="AV55" s="8"/>
      <c r="AW55" s="9"/>
      <c r="AX55" s="8"/>
      <c r="AY55" s="10"/>
      <c r="AZ55" s="8"/>
      <c r="BA55" s="19" t="s">
        <v>121</v>
      </c>
      <c r="BB55" s="8"/>
      <c r="BC55" s="8"/>
      <c r="BD55" s="9"/>
      <c r="BE55" s="8"/>
      <c r="BF55" s="10"/>
      <c r="BG55" s="8"/>
      <c r="BH55" s="19" t="s">
        <v>121</v>
      </c>
      <c r="BI55" s="8"/>
      <c r="BJ55" s="8"/>
      <c r="BK55" s="9"/>
      <c r="BL55" s="8"/>
      <c r="BM55" s="10"/>
      <c r="BN55" s="8"/>
      <c r="BO55" s="19" t="s">
        <v>121</v>
      </c>
      <c r="BP55" s="8"/>
      <c r="BQ55" s="8"/>
      <c r="BR55" s="9"/>
      <c r="BS55" s="8"/>
      <c r="BT55" s="10"/>
      <c r="BU55" s="8"/>
      <c r="BV55" s="19" t="s">
        <v>121</v>
      </c>
      <c r="BW55" s="8"/>
      <c r="BX55" s="8"/>
      <c r="BY55" s="9"/>
      <c r="BZ55" s="8"/>
      <c r="CA55" s="10"/>
      <c r="CB55" s="8"/>
      <c r="CC55" s="19" t="s">
        <v>121</v>
      </c>
      <c r="CD55" s="8"/>
      <c r="CE55" s="8"/>
      <c r="CF55" s="9"/>
      <c r="CG55" s="8"/>
      <c r="CH55" s="10"/>
      <c r="CI55" s="8"/>
      <c r="CJ55" s="19" t="s">
        <v>121</v>
      </c>
      <c r="CK55" s="8"/>
      <c r="CL55" s="8"/>
      <c r="CM55" s="9"/>
      <c r="CN55" s="8"/>
      <c r="CO55" s="10"/>
      <c r="CP55" s="8"/>
      <c r="CQ55" s="19" t="s">
        <v>121</v>
      </c>
      <c r="CR55" s="8"/>
      <c r="CS55" s="8"/>
      <c r="CT55" s="9"/>
      <c r="CU55" s="8"/>
      <c r="CV55" s="10"/>
      <c r="CW55" s="8"/>
      <c r="CX55" s="19" t="s">
        <v>121</v>
      </c>
      <c r="CY55" s="8"/>
      <c r="CZ55" s="8"/>
      <c r="DA55" s="9"/>
      <c r="DB55" s="8"/>
      <c r="DC55" s="10"/>
      <c r="DD55" s="8"/>
    </row>
    <row r="56" spans="1:108" ht="12.75">
      <c r="A56" s="19"/>
      <c r="B56" s="8"/>
      <c r="C56" s="8"/>
      <c r="D56" s="9"/>
      <c r="E56" s="8"/>
      <c r="F56" s="10"/>
      <c r="G56" s="8"/>
      <c r="H56" s="8"/>
      <c r="I56" s="8"/>
      <c r="J56" s="19"/>
      <c r="K56" s="8"/>
      <c r="L56" s="8"/>
      <c r="M56" s="9"/>
      <c r="N56" s="8"/>
      <c r="O56" s="10"/>
      <c r="P56" s="8"/>
      <c r="Q56" s="8"/>
      <c r="R56" s="19"/>
      <c r="S56" s="8"/>
      <c r="T56" s="8"/>
      <c r="U56" s="9"/>
      <c r="V56" s="8"/>
      <c r="W56" s="10"/>
      <c r="X56" s="8"/>
      <c r="Y56" s="19"/>
      <c r="Z56" s="8"/>
      <c r="AA56" s="8"/>
      <c r="AB56" s="9"/>
      <c r="AC56" s="8"/>
      <c r="AD56" s="10"/>
      <c r="AE56" s="8"/>
      <c r="AF56" s="19"/>
      <c r="AG56" s="8"/>
      <c r="AH56" s="8"/>
      <c r="AI56" s="9"/>
      <c r="AJ56" s="8"/>
      <c r="AK56" s="10"/>
      <c r="AL56" s="8"/>
      <c r="AM56" s="19"/>
      <c r="AN56" s="8"/>
      <c r="AO56" s="8"/>
      <c r="AP56" s="9"/>
      <c r="AQ56" s="8"/>
      <c r="AR56" s="10"/>
      <c r="AS56" s="8"/>
      <c r="AT56" s="19"/>
      <c r="AU56" s="8"/>
      <c r="AV56" s="8"/>
      <c r="AW56" s="9"/>
      <c r="AX56" s="8"/>
      <c r="AY56" s="10"/>
      <c r="AZ56" s="8"/>
      <c r="BA56" s="19"/>
      <c r="BB56" s="8"/>
      <c r="BC56" s="8"/>
      <c r="BD56" s="9"/>
      <c r="BE56" s="8"/>
      <c r="BF56" s="10"/>
      <c r="BG56" s="8"/>
      <c r="BH56" s="19"/>
      <c r="BI56" s="8"/>
      <c r="BJ56" s="8"/>
      <c r="BK56" s="9"/>
      <c r="BL56" s="8"/>
      <c r="BM56" s="10"/>
      <c r="BN56" s="8"/>
      <c r="BO56" s="19"/>
      <c r="BP56" s="8"/>
      <c r="BQ56" s="8"/>
      <c r="BR56" s="9"/>
      <c r="BS56" s="8"/>
      <c r="BT56" s="10"/>
      <c r="BU56" s="8"/>
      <c r="BV56" s="19"/>
      <c r="BW56" s="8"/>
      <c r="BX56" s="8"/>
      <c r="BY56" s="9"/>
      <c r="BZ56" s="8"/>
      <c r="CA56" s="10"/>
      <c r="CB56" s="8"/>
      <c r="CC56" s="19"/>
      <c r="CD56" s="8"/>
      <c r="CE56" s="8"/>
      <c r="CF56" s="9"/>
      <c r="CG56" s="8"/>
      <c r="CH56" s="10"/>
      <c r="CI56" s="8"/>
      <c r="CJ56" s="19"/>
      <c r="CK56" s="8"/>
      <c r="CL56" s="8"/>
      <c r="CM56" s="9"/>
      <c r="CN56" s="8"/>
      <c r="CO56" s="10"/>
      <c r="CP56" s="8"/>
      <c r="CQ56" s="19"/>
      <c r="CR56" s="8"/>
      <c r="CS56" s="8"/>
      <c r="CT56" s="9"/>
      <c r="CU56" s="8"/>
      <c r="CV56" s="10"/>
      <c r="CW56" s="8"/>
      <c r="CX56" s="19"/>
      <c r="CY56" s="8"/>
      <c r="CZ56" s="8"/>
      <c r="DA56" s="9"/>
      <c r="DB56" s="8"/>
      <c r="DC56" s="10"/>
      <c r="DD56" s="8"/>
    </row>
    <row r="57" spans="1:108" s="29" customFormat="1" ht="12.75">
      <c r="A57" s="25"/>
      <c r="B57" s="26"/>
      <c r="C57" s="26"/>
      <c r="D57" s="27" t="s">
        <v>99</v>
      </c>
      <c r="E57" s="26" t="s">
        <v>100</v>
      </c>
      <c r="F57" s="28" t="s">
        <v>101</v>
      </c>
      <c r="G57" s="26" t="s">
        <v>100</v>
      </c>
      <c r="H57" s="25"/>
      <c r="I57" s="25"/>
      <c r="J57" s="27" t="s">
        <v>99</v>
      </c>
      <c r="K57" s="26" t="s">
        <v>100</v>
      </c>
      <c r="L57" s="28" t="s">
        <v>101</v>
      </c>
      <c r="M57" s="26" t="s">
        <v>100</v>
      </c>
      <c r="N57" s="64"/>
      <c r="O57" s="65"/>
      <c r="P57" s="64"/>
      <c r="Q57" s="8"/>
      <c r="R57" s="27" t="s">
        <v>99</v>
      </c>
      <c r="S57" s="26" t="s">
        <v>100</v>
      </c>
      <c r="T57" s="28" t="s">
        <v>101</v>
      </c>
      <c r="U57" s="44" t="s">
        <v>100</v>
      </c>
      <c r="V57" s="64"/>
      <c r="W57" s="65"/>
      <c r="X57" s="64"/>
      <c r="Y57" s="27" t="s">
        <v>99</v>
      </c>
      <c r="Z57" s="26" t="s">
        <v>100</v>
      </c>
      <c r="AA57" s="28" t="s">
        <v>101</v>
      </c>
      <c r="AB57" s="44" t="s">
        <v>100</v>
      </c>
      <c r="AC57" s="64"/>
      <c r="AD57" s="65"/>
      <c r="AE57" s="64"/>
      <c r="AF57" s="27" t="s">
        <v>99</v>
      </c>
      <c r="AG57" s="26" t="s">
        <v>100</v>
      </c>
      <c r="AH57" s="28" t="s">
        <v>101</v>
      </c>
      <c r="AI57" s="44" t="s">
        <v>100</v>
      </c>
      <c r="AJ57" s="64"/>
      <c r="AK57" s="65"/>
      <c r="AL57" s="64"/>
      <c r="AM57" s="27" t="s">
        <v>99</v>
      </c>
      <c r="AN57" s="26" t="s">
        <v>100</v>
      </c>
      <c r="AO57" s="28" t="s">
        <v>101</v>
      </c>
      <c r="AP57" s="44" t="s">
        <v>100</v>
      </c>
      <c r="AQ57" s="64"/>
      <c r="AR57" s="65"/>
      <c r="AS57" s="64"/>
      <c r="AT57" s="27" t="s">
        <v>99</v>
      </c>
      <c r="AU57" s="26" t="s">
        <v>100</v>
      </c>
      <c r="AV57" s="28" t="s">
        <v>101</v>
      </c>
      <c r="AW57" s="44" t="s">
        <v>100</v>
      </c>
      <c r="AX57" s="64"/>
      <c r="AY57" s="65"/>
      <c r="AZ57" s="64"/>
      <c r="BA57" s="89" t="s">
        <v>99</v>
      </c>
      <c r="BB57" s="44" t="s">
        <v>100</v>
      </c>
      <c r="BC57" s="88" t="s">
        <v>101</v>
      </c>
      <c r="BD57" s="44" t="s">
        <v>100</v>
      </c>
      <c r="BE57" s="64"/>
      <c r="BF57" s="65"/>
      <c r="BG57" s="64"/>
      <c r="BH57" s="89" t="s">
        <v>99</v>
      </c>
      <c r="BI57" s="44" t="s">
        <v>100</v>
      </c>
      <c r="BJ57" s="88" t="s">
        <v>101</v>
      </c>
      <c r="BK57" s="44" t="s">
        <v>100</v>
      </c>
      <c r="BL57" s="64"/>
      <c r="BM57" s="65"/>
      <c r="BN57" s="64"/>
      <c r="BO57" s="89" t="s">
        <v>99</v>
      </c>
      <c r="BP57" s="44" t="s">
        <v>100</v>
      </c>
      <c r="BQ57" s="88" t="s">
        <v>101</v>
      </c>
      <c r="BR57" s="44" t="s">
        <v>100</v>
      </c>
      <c r="BS57" s="64"/>
      <c r="BT57" s="65"/>
      <c r="BU57" s="64"/>
      <c r="BV57" s="89" t="s">
        <v>99</v>
      </c>
      <c r="BW57" s="44" t="s">
        <v>100</v>
      </c>
      <c r="BX57" s="88" t="s">
        <v>101</v>
      </c>
      <c r="BY57" s="44" t="s">
        <v>100</v>
      </c>
      <c r="BZ57" s="64"/>
      <c r="CA57" s="65"/>
      <c r="CB57" s="64"/>
      <c r="CC57" s="89" t="s">
        <v>99</v>
      </c>
      <c r="CD57" s="44" t="s">
        <v>100</v>
      </c>
      <c r="CE57" s="88" t="s">
        <v>101</v>
      </c>
      <c r="CF57" s="44" t="s">
        <v>100</v>
      </c>
      <c r="CG57" s="64"/>
      <c r="CH57" s="65"/>
      <c r="CI57" s="64"/>
      <c r="CJ57" s="89" t="s">
        <v>99</v>
      </c>
      <c r="CK57" s="44" t="s">
        <v>100</v>
      </c>
      <c r="CL57" s="88" t="s">
        <v>101</v>
      </c>
      <c r="CM57" s="44" t="s">
        <v>100</v>
      </c>
      <c r="CN57" s="64"/>
      <c r="CO57" s="65"/>
      <c r="CP57" s="64"/>
      <c r="CQ57" s="89" t="s">
        <v>99</v>
      </c>
      <c r="CR57" s="44" t="s">
        <v>100</v>
      </c>
      <c r="CS57" s="88" t="s">
        <v>101</v>
      </c>
      <c r="CT57" s="44" t="s">
        <v>100</v>
      </c>
      <c r="CU57" s="64"/>
      <c r="CV57" s="65"/>
      <c r="CW57" s="64"/>
      <c r="CX57" s="89" t="s">
        <v>99</v>
      </c>
      <c r="CY57" s="44" t="s">
        <v>100</v>
      </c>
      <c r="CZ57" s="88" t="s">
        <v>101</v>
      </c>
      <c r="DA57" s="44" t="s">
        <v>100</v>
      </c>
      <c r="DB57" s="64"/>
      <c r="DC57" s="65"/>
      <c r="DD57" s="64"/>
    </row>
    <row r="58" spans="1:108" ht="12.75">
      <c r="A58" s="12"/>
      <c r="B58" s="8"/>
      <c r="C58" s="8"/>
      <c r="D58" s="9"/>
      <c r="E58" s="8"/>
      <c r="F58" s="10"/>
      <c r="G58" s="8"/>
      <c r="H58" s="8"/>
      <c r="I58" s="8"/>
      <c r="J58" s="9"/>
      <c r="K58" s="8"/>
      <c r="L58" s="10"/>
      <c r="M58" s="8"/>
      <c r="N58" s="54"/>
      <c r="O58" s="55"/>
      <c r="P58" s="54"/>
      <c r="Q58" s="8"/>
      <c r="R58" s="9"/>
      <c r="S58" s="8"/>
      <c r="T58" s="10"/>
      <c r="U58" s="8"/>
      <c r="V58" s="54"/>
      <c r="W58" s="55"/>
      <c r="X58" s="54"/>
      <c r="Y58" s="9"/>
      <c r="Z58" s="8"/>
      <c r="AA58" s="10"/>
      <c r="AB58" s="8"/>
      <c r="AC58" s="54"/>
      <c r="AD58" s="55"/>
      <c r="AE58" s="54"/>
      <c r="AF58" s="9"/>
      <c r="AG58" s="8"/>
      <c r="AH58" s="10"/>
      <c r="AI58" s="8"/>
      <c r="AJ58" s="54"/>
      <c r="AK58" s="55"/>
      <c r="AL58" s="54"/>
      <c r="AM58" s="9"/>
      <c r="AN58" s="8"/>
      <c r="AO58" s="10"/>
      <c r="AP58" s="8"/>
      <c r="AQ58" s="54"/>
      <c r="AR58" s="55"/>
      <c r="AS58" s="54"/>
      <c r="AT58" s="9"/>
      <c r="AU58" s="8"/>
      <c r="AV58" s="10"/>
      <c r="AW58" s="8"/>
      <c r="AX58" s="54"/>
      <c r="AY58" s="55"/>
      <c r="AZ58" s="54"/>
      <c r="BA58" s="9"/>
      <c r="BB58" s="8"/>
      <c r="BC58" s="10"/>
      <c r="BD58" s="8"/>
      <c r="BE58" s="54"/>
      <c r="BF58" s="55"/>
      <c r="BG58" s="54"/>
      <c r="BH58" s="9"/>
      <c r="BI58" s="8"/>
      <c r="BJ58" s="10"/>
      <c r="BK58" s="8"/>
      <c r="BL58" s="54"/>
      <c r="BM58" s="55"/>
      <c r="BN58" s="54"/>
      <c r="BO58" s="9"/>
      <c r="BP58" s="8"/>
      <c r="BQ58" s="10"/>
      <c r="BR58" s="8"/>
      <c r="BS58" s="54"/>
      <c r="BT58" s="55"/>
      <c r="BU58" s="54"/>
      <c r="BV58" s="9"/>
      <c r="BW58" s="8"/>
      <c r="BX58" s="10"/>
      <c r="BY58" s="8"/>
      <c r="BZ58" s="54"/>
      <c r="CA58" s="55"/>
      <c r="CB58" s="54"/>
      <c r="CC58" s="9"/>
      <c r="CD58" s="8"/>
      <c r="CE58" s="10"/>
      <c r="CF58" s="8"/>
      <c r="CG58" s="54"/>
      <c r="CH58" s="55"/>
      <c r="CI58" s="54"/>
      <c r="CJ58" s="9"/>
      <c r="CK58" s="8"/>
      <c r="CL58" s="10"/>
      <c r="CM58" s="8"/>
      <c r="CN58" s="54"/>
      <c r="CO58" s="55"/>
      <c r="CP58" s="54"/>
      <c r="CQ58" s="9"/>
      <c r="CR58" s="8"/>
      <c r="CS58" s="10"/>
      <c r="CT58" s="8"/>
      <c r="CU58" s="54"/>
      <c r="CV58" s="55"/>
      <c r="CW58" s="54"/>
      <c r="CX58" s="9"/>
      <c r="CY58" s="8"/>
      <c r="CZ58" s="10"/>
      <c r="DA58" s="8"/>
      <c r="DB58" s="54"/>
      <c r="DC58" s="55"/>
      <c r="DD58" s="54"/>
    </row>
    <row r="59" spans="1:108" ht="12.75">
      <c r="A59" s="8" t="s">
        <v>17</v>
      </c>
      <c r="B59" s="8"/>
      <c r="C59" s="8"/>
      <c r="D59" s="9">
        <v>4377680.94</v>
      </c>
      <c r="E59" s="14">
        <f>+D59/D74</f>
        <v>0.04789102770370914</v>
      </c>
      <c r="F59" s="10">
        <v>7046</v>
      </c>
      <c r="G59" s="14">
        <f>+F59/F74</f>
        <v>0.3710764693490626</v>
      </c>
      <c r="H59" s="8"/>
      <c r="I59" s="8"/>
      <c r="J59" s="9">
        <v>4167132.7200000063</v>
      </c>
      <c r="K59" s="14">
        <f>+J59/J74</f>
        <v>0.05007710597028819</v>
      </c>
      <c r="L59" s="10">
        <v>4242</v>
      </c>
      <c r="M59" s="14">
        <f>+L59/L74</f>
        <v>0.2793546262759302</v>
      </c>
      <c r="N59" s="56"/>
      <c r="O59" s="55"/>
      <c r="P59" s="56"/>
      <c r="Q59" s="8"/>
      <c r="R59" s="9">
        <v>3974023.5499999896</v>
      </c>
      <c r="S59" s="14">
        <v>0.050595782581044045</v>
      </c>
      <c r="T59" s="10">
        <v>4039</v>
      </c>
      <c r="U59" s="14">
        <v>0.28113036820491405</v>
      </c>
      <c r="V59" s="56"/>
      <c r="W59" s="55"/>
      <c r="X59" s="56"/>
      <c r="Y59" s="9">
        <v>3926124.030000013</v>
      </c>
      <c r="Z59" s="14">
        <v>0.0485283927404604</v>
      </c>
      <c r="AA59" s="10">
        <v>4077</v>
      </c>
      <c r="AB59" s="14">
        <v>0.28059187887130077</v>
      </c>
      <c r="AC59" s="56"/>
      <c r="AD59" s="55"/>
      <c r="AE59" s="56"/>
      <c r="AF59" s="9">
        <v>3703925.8199999933</v>
      </c>
      <c r="AG59" s="14">
        <v>0.04613501790657093</v>
      </c>
      <c r="AH59" s="10">
        <v>3983</v>
      </c>
      <c r="AI59" s="14">
        <v>0.2803350225225225</v>
      </c>
      <c r="AJ59" s="56"/>
      <c r="AK59" s="55"/>
      <c r="AL59" s="56"/>
      <c r="AM59" s="9">
        <v>3360734.94</v>
      </c>
      <c r="AN59" s="14">
        <v>0.041169998719241326</v>
      </c>
      <c r="AO59" s="10">
        <v>3804</v>
      </c>
      <c r="AP59" s="14">
        <v>0.26870099597372327</v>
      </c>
      <c r="AQ59" s="56"/>
      <c r="AR59" s="55"/>
      <c r="AS59" s="56"/>
      <c r="AT59" s="9">
        <v>3095396.74</v>
      </c>
      <c r="AU59" s="14">
        <v>0.03851677512941743</v>
      </c>
      <c r="AV59" s="10">
        <v>3610</v>
      </c>
      <c r="AW59" s="14">
        <v>0.2618978525827046</v>
      </c>
      <c r="AX59" s="56"/>
      <c r="AY59" s="55"/>
      <c r="AZ59" s="56"/>
      <c r="BA59" s="9">
        <v>3004993.13</v>
      </c>
      <c r="BB59" s="14">
        <v>0.03602438305811735</v>
      </c>
      <c r="BC59" s="10">
        <v>3613</v>
      </c>
      <c r="BD59" s="14">
        <v>0.25805299621455613</v>
      </c>
      <c r="BE59" s="56"/>
      <c r="BF59" s="55"/>
      <c r="BG59" s="56"/>
      <c r="BH59" s="9">
        <v>2750352.9200000092</v>
      </c>
      <c r="BI59" s="14">
        <v>0.03606442737109887</v>
      </c>
      <c r="BJ59" s="10">
        <v>2740</v>
      </c>
      <c r="BK59" s="14">
        <v>0.22332708452196592</v>
      </c>
      <c r="BL59" s="56"/>
      <c r="BM59" s="55"/>
      <c r="BN59" s="56"/>
      <c r="BO59" s="9">
        <v>2568293.69</v>
      </c>
      <c r="BP59" s="14">
        <v>0.03668603711135775</v>
      </c>
      <c r="BQ59" s="10">
        <v>2538</v>
      </c>
      <c r="BR59" s="14">
        <v>0.22375033060037028</v>
      </c>
      <c r="BS59" s="56"/>
      <c r="BT59" s="55"/>
      <c r="BU59" s="56"/>
      <c r="BV59" s="9">
        <v>2514261.860000005</v>
      </c>
      <c r="BW59" s="14">
        <v>0.03920335568276909</v>
      </c>
      <c r="BX59" s="10">
        <v>2423</v>
      </c>
      <c r="BY59" s="14">
        <v>0.2306081659845817</v>
      </c>
      <c r="BZ59" s="56"/>
      <c r="CA59" s="55"/>
      <c r="CB59" s="56"/>
      <c r="CC59" s="9">
        <v>2319395.34</v>
      </c>
      <c r="CD59" s="14">
        <v>0.03921660187211468</v>
      </c>
      <c r="CE59" s="10">
        <v>2325</v>
      </c>
      <c r="CF59" s="14">
        <v>0.23644869317603986</v>
      </c>
      <c r="CG59" s="56"/>
      <c r="CH59" s="55"/>
      <c r="CI59" s="56"/>
      <c r="CJ59" s="9">
        <v>2108679.99</v>
      </c>
      <c r="CK59" s="14">
        <v>0.03876796702596745</v>
      </c>
      <c r="CL59" s="10">
        <v>2161</v>
      </c>
      <c r="CM59" s="14">
        <v>0.2369777387871477</v>
      </c>
      <c r="CN59" s="56"/>
      <c r="CO59" s="55"/>
      <c r="CP59" s="56"/>
      <c r="CQ59" s="9">
        <v>2011276.05</v>
      </c>
      <c r="CR59" s="14">
        <v>0.04024299867920122</v>
      </c>
      <c r="CS59" s="10">
        <v>1971</v>
      </c>
      <c r="CT59" s="14">
        <v>0.23559646186947167</v>
      </c>
      <c r="CU59" s="56"/>
      <c r="CV59" s="55"/>
      <c r="CW59" s="56"/>
      <c r="CX59" s="9">
        <v>1911399.6</v>
      </c>
      <c r="CY59" s="14">
        <v>0.04124114503247415</v>
      </c>
      <c r="CZ59" s="10">
        <v>1876</v>
      </c>
      <c r="DA59" s="14">
        <v>0.24011263279150136</v>
      </c>
      <c r="DB59" s="56"/>
      <c r="DC59" s="55"/>
      <c r="DD59" s="56"/>
    </row>
    <row r="60" spans="1:108" ht="12.75">
      <c r="A60" s="8" t="s">
        <v>18</v>
      </c>
      <c r="B60" s="8"/>
      <c r="C60" s="8"/>
      <c r="D60" s="9">
        <v>10120942.060000028</v>
      </c>
      <c r="E60" s="14">
        <f>+D60/$D$74</f>
        <v>0.11072125246822953</v>
      </c>
      <c r="F60" s="10">
        <v>3471</v>
      </c>
      <c r="G60" s="14">
        <f>+F60/$F$74</f>
        <v>0.1827996629450179</v>
      </c>
      <c r="H60" s="8"/>
      <c r="I60" s="8"/>
      <c r="J60" s="9">
        <v>9498922.40999999</v>
      </c>
      <c r="K60" s="14">
        <f>+J60/$J$74</f>
        <v>0.11415008258463005</v>
      </c>
      <c r="L60" s="10">
        <v>3245</v>
      </c>
      <c r="M60" s="14">
        <f>+L60/$L$74</f>
        <v>0.21369772802107342</v>
      </c>
      <c r="N60" s="56"/>
      <c r="O60" s="55"/>
      <c r="P60" s="56"/>
      <c r="Q60" s="8"/>
      <c r="R60" s="9">
        <v>8908229.79000002</v>
      </c>
      <c r="S60" s="14">
        <v>0.11341625231104174</v>
      </c>
      <c r="T60" s="10">
        <v>3048</v>
      </c>
      <c r="U60" s="14">
        <v>0.212152850281896</v>
      </c>
      <c r="V60" s="56"/>
      <c r="W60" s="55"/>
      <c r="X60" s="56"/>
      <c r="Y60" s="9">
        <v>8635151.290000018</v>
      </c>
      <c r="Z60" s="14">
        <v>0.1067337684628401</v>
      </c>
      <c r="AA60" s="10">
        <v>2935</v>
      </c>
      <c r="AB60" s="14">
        <v>0.2019958706125258</v>
      </c>
      <c r="AC60" s="56"/>
      <c r="AD60" s="55"/>
      <c r="AE60" s="56"/>
      <c r="AF60" s="9">
        <v>8036976.349999982</v>
      </c>
      <c r="AG60" s="14">
        <v>0.10010622940119705</v>
      </c>
      <c r="AH60" s="10">
        <v>2727</v>
      </c>
      <c r="AI60" s="14">
        <v>0.19193412162162163</v>
      </c>
      <c r="AJ60" s="56"/>
      <c r="AK60" s="55"/>
      <c r="AL60" s="56"/>
      <c r="AM60" s="9">
        <v>8060325.89</v>
      </c>
      <c r="AN60" s="14">
        <v>0.09874138023154173</v>
      </c>
      <c r="AO60" s="10">
        <v>2741</v>
      </c>
      <c r="AP60" s="14">
        <v>0.19361446634173907</v>
      </c>
      <c r="AQ60" s="56"/>
      <c r="AR60" s="55"/>
      <c r="AS60" s="56"/>
      <c r="AT60" s="9">
        <v>7813427.230000011</v>
      </c>
      <c r="AU60" s="14">
        <v>0.09722437699794735</v>
      </c>
      <c r="AV60" s="10">
        <v>2665</v>
      </c>
      <c r="AW60" s="14">
        <v>0.1933401044689495</v>
      </c>
      <c r="AX60" s="56"/>
      <c r="AY60" s="55"/>
      <c r="AZ60" s="56"/>
      <c r="BA60" s="9">
        <v>7728387.729999989</v>
      </c>
      <c r="BB60" s="14">
        <v>0.09264926339687629</v>
      </c>
      <c r="BC60" s="10">
        <v>2641</v>
      </c>
      <c r="BD60" s="14">
        <v>0.18862938361545603</v>
      </c>
      <c r="BE60" s="56"/>
      <c r="BF60" s="55"/>
      <c r="BG60" s="56"/>
      <c r="BH60" s="9">
        <v>7108007.740000009</v>
      </c>
      <c r="BI60" s="14">
        <v>0.09320484910439714</v>
      </c>
      <c r="BJ60" s="10">
        <v>2420</v>
      </c>
      <c r="BK60" s="14">
        <v>0.19724508924932757</v>
      </c>
      <c r="BL60" s="56"/>
      <c r="BM60" s="55"/>
      <c r="BN60" s="56"/>
      <c r="BO60" s="9">
        <v>6612657.840000004</v>
      </c>
      <c r="BP60" s="14">
        <v>0.09445656930417136</v>
      </c>
      <c r="BQ60" s="10">
        <v>2263</v>
      </c>
      <c r="BR60" s="14">
        <v>0.19950630344705986</v>
      </c>
      <c r="BS60" s="56"/>
      <c r="BT60" s="55"/>
      <c r="BU60" s="56"/>
      <c r="BV60" s="9">
        <v>6223014.690000007</v>
      </c>
      <c r="BW60" s="14">
        <v>0.0970316824163919</v>
      </c>
      <c r="BX60" s="10">
        <v>2108</v>
      </c>
      <c r="BY60" s="14">
        <v>0.20062815266013134</v>
      </c>
      <c r="BZ60" s="56"/>
      <c r="CA60" s="55"/>
      <c r="CB60" s="56"/>
      <c r="CC60" s="9">
        <v>5889544.989999999</v>
      </c>
      <c r="CD60" s="14">
        <v>0.09958110077117667</v>
      </c>
      <c r="CE60" s="10">
        <v>2005</v>
      </c>
      <c r="CF60" s="14">
        <v>0.20390521712600426</v>
      </c>
      <c r="CG60" s="56"/>
      <c r="CH60" s="55"/>
      <c r="CI60" s="56"/>
      <c r="CJ60" s="9">
        <v>5560927.450000014</v>
      </c>
      <c r="CK60" s="14">
        <v>0.10223734897555417</v>
      </c>
      <c r="CL60" s="10">
        <v>1897</v>
      </c>
      <c r="CM60" s="14">
        <v>0.20802719596446978</v>
      </c>
      <c r="CN60" s="56"/>
      <c r="CO60" s="55"/>
      <c r="CP60" s="56"/>
      <c r="CQ60" s="9">
        <v>5199625.39</v>
      </c>
      <c r="CR60" s="14">
        <v>0.10403769174406013</v>
      </c>
      <c r="CS60" s="10">
        <v>1769</v>
      </c>
      <c r="CT60" s="14">
        <v>0.21145111164236194</v>
      </c>
      <c r="CU60" s="56"/>
      <c r="CV60" s="55"/>
      <c r="CW60" s="56"/>
      <c r="CX60" s="9">
        <v>4771885.73</v>
      </c>
      <c r="CY60" s="14">
        <v>0.1029601719438072</v>
      </c>
      <c r="CZ60" s="10">
        <v>1632</v>
      </c>
      <c r="DA60" s="14">
        <v>0.20888263151158326</v>
      </c>
      <c r="DB60" s="56"/>
      <c r="DC60" s="55"/>
      <c r="DD60" s="56"/>
    </row>
    <row r="61" spans="1:108" ht="12.75">
      <c r="A61" s="8" t="s">
        <v>19</v>
      </c>
      <c r="B61" s="8"/>
      <c r="C61" s="8"/>
      <c r="D61" s="9">
        <v>11845816.05000003</v>
      </c>
      <c r="E61" s="14">
        <f aca="true" t="shared" si="11" ref="E61:E71">+D61/$D$74</f>
        <v>0.12959105800515325</v>
      </c>
      <c r="F61" s="10">
        <v>2415</v>
      </c>
      <c r="G61" s="14">
        <f aca="true" t="shared" si="12" ref="G61:G71">+F61/$F$74</f>
        <v>0.12718559089951548</v>
      </c>
      <c r="H61" s="8"/>
      <c r="I61" s="8"/>
      <c r="J61" s="9">
        <v>10617155.570000004</v>
      </c>
      <c r="K61" s="14">
        <f aca="true" t="shared" si="13" ref="K61:K71">+J61/$J$74</f>
        <v>0.12758807081669452</v>
      </c>
      <c r="L61" s="10">
        <v>2163</v>
      </c>
      <c r="M61" s="14">
        <f aca="true" t="shared" si="14" ref="M61:M71">+L61/$L$74</f>
        <v>0.1424432005268357</v>
      </c>
      <c r="N61" s="56"/>
      <c r="O61" s="55"/>
      <c r="P61" s="56"/>
      <c r="Q61" s="8"/>
      <c r="R61" s="9">
        <v>9854846.500000022</v>
      </c>
      <c r="S61" s="14">
        <v>0.12546822247280476</v>
      </c>
      <c r="T61" s="10">
        <v>1997</v>
      </c>
      <c r="U61" s="14">
        <v>0.13899909514860445</v>
      </c>
      <c r="V61" s="56"/>
      <c r="W61" s="55"/>
      <c r="X61" s="56"/>
      <c r="Y61" s="9">
        <v>9974228.739999985</v>
      </c>
      <c r="Z61" s="14">
        <v>0.12328527725546794</v>
      </c>
      <c r="AA61" s="10">
        <v>2006</v>
      </c>
      <c r="AB61" s="14">
        <v>0.13805918788713006</v>
      </c>
      <c r="AC61" s="56"/>
      <c r="AD61" s="55"/>
      <c r="AE61" s="56"/>
      <c r="AF61" s="9">
        <v>9823864.639999997</v>
      </c>
      <c r="AG61" s="14">
        <v>0.12236318789940821</v>
      </c>
      <c r="AH61" s="10">
        <v>1977</v>
      </c>
      <c r="AI61" s="14">
        <v>0.13914695945945946</v>
      </c>
      <c r="AJ61" s="56"/>
      <c r="AK61" s="55"/>
      <c r="AL61" s="56"/>
      <c r="AM61" s="9">
        <v>10141646.29000002</v>
      </c>
      <c r="AN61" s="14">
        <v>0.12423817177628987</v>
      </c>
      <c r="AO61" s="10">
        <v>2030</v>
      </c>
      <c r="AP61" s="14">
        <v>0.14339196157377976</v>
      </c>
      <c r="AQ61" s="56"/>
      <c r="AR61" s="55"/>
      <c r="AS61" s="56"/>
      <c r="AT61" s="9">
        <v>10339451.889999995</v>
      </c>
      <c r="AU61" s="14">
        <v>0.12865631673714295</v>
      </c>
      <c r="AV61" s="10">
        <v>2062</v>
      </c>
      <c r="AW61" s="14">
        <v>0.1495937318630296</v>
      </c>
      <c r="AX61" s="56"/>
      <c r="AY61" s="55"/>
      <c r="AZ61" s="56"/>
      <c r="BA61" s="9">
        <v>10604690.54999998</v>
      </c>
      <c r="BB61" s="14">
        <v>0.12713088451752852</v>
      </c>
      <c r="BC61" s="10">
        <v>2117</v>
      </c>
      <c r="BD61" s="14">
        <v>0.15120348546532392</v>
      </c>
      <c r="BE61" s="56"/>
      <c r="BF61" s="55"/>
      <c r="BG61" s="56"/>
      <c r="BH61" s="9">
        <v>9766011.7</v>
      </c>
      <c r="BI61" s="14">
        <v>0.12805833647703313</v>
      </c>
      <c r="BJ61" s="10">
        <v>1956</v>
      </c>
      <c r="BK61" s="14">
        <v>0.15942619610400197</v>
      </c>
      <c r="BL61" s="56"/>
      <c r="BM61" s="55"/>
      <c r="BN61" s="56"/>
      <c r="BO61" s="9">
        <v>9094904.110000018</v>
      </c>
      <c r="BP61" s="14">
        <v>0.1299134873098181</v>
      </c>
      <c r="BQ61" s="10">
        <v>1827</v>
      </c>
      <c r="BR61" s="14">
        <v>0.16106850039672044</v>
      </c>
      <c r="BS61" s="56"/>
      <c r="BT61" s="55"/>
      <c r="BU61" s="56"/>
      <c r="BV61" s="9">
        <v>8553693.520000009</v>
      </c>
      <c r="BW61" s="14">
        <v>0.133372539591384</v>
      </c>
      <c r="BX61" s="10">
        <v>1709</v>
      </c>
      <c r="BY61" s="14">
        <v>0.16265346911582754</v>
      </c>
      <c r="BZ61" s="56"/>
      <c r="CA61" s="55"/>
      <c r="CB61" s="56"/>
      <c r="CC61" s="9">
        <v>8110808.890000015</v>
      </c>
      <c r="CD61" s="14">
        <v>0.13713848502426454</v>
      </c>
      <c r="CE61" s="10">
        <v>1617</v>
      </c>
      <c r="CF61" s="14">
        <v>0.1644462524153361</v>
      </c>
      <c r="CG61" s="56"/>
      <c r="CH61" s="55"/>
      <c r="CI61" s="56"/>
      <c r="CJ61" s="9">
        <v>7570841.980000005</v>
      </c>
      <c r="CK61" s="14">
        <v>0.13918951838654794</v>
      </c>
      <c r="CL61" s="10">
        <v>1512</v>
      </c>
      <c r="CM61" s="14">
        <v>0.1658076543480645</v>
      </c>
      <c r="CN61" s="56"/>
      <c r="CO61" s="55"/>
      <c r="CP61" s="56"/>
      <c r="CQ61" s="9">
        <v>6885766.840000004</v>
      </c>
      <c r="CR61" s="14">
        <v>0.1377751730536479</v>
      </c>
      <c r="CS61" s="10">
        <v>1374</v>
      </c>
      <c r="CT61" s="14">
        <v>0.16423619411905332</v>
      </c>
      <c r="CU61" s="56"/>
      <c r="CV61" s="55"/>
      <c r="CW61" s="56"/>
      <c r="CX61" s="9">
        <v>6569885.179999996</v>
      </c>
      <c r="CY61" s="14">
        <v>0.14175454863288817</v>
      </c>
      <c r="CZ61" s="10">
        <v>1316</v>
      </c>
      <c r="DA61" s="14">
        <v>0.16843722001791886</v>
      </c>
      <c r="DB61" s="56"/>
      <c r="DC61" s="55"/>
      <c r="DD61" s="56"/>
    </row>
    <row r="62" spans="1:108" ht="12.75">
      <c r="A62" s="8" t="s">
        <v>20</v>
      </c>
      <c r="B62" s="8"/>
      <c r="C62" s="8"/>
      <c r="D62" s="9">
        <v>11250131.810000017</v>
      </c>
      <c r="E62" s="14">
        <f t="shared" si="11"/>
        <v>0.12307438152015945</v>
      </c>
      <c r="F62" s="10">
        <v>1617</v>
      </c>
      <c r="G62" s="14">
        <f t="shared" si="12"/>
        <v>0.08515904781967558</v>
      </c>
      <c r="H62" s="8"/>
      <c r="I62" s="8"/>
      <c r="J62" s="9">
        <v>10703777.159999985</v>
      </c>
      <c r="K62" s="14">
        <f t="shared" si="13"/>
        <v>0.12862901643403113</v>
      </c>
      <c r="L62" s="10">
        <v>1536</v>
      </c>
      <c r="M62" s="14">
        <f t="shared" si="14"/>
        <v>0.10115245307869608</v>
      </c>
      <c r="N62" s="56"/>
      <c r="O62" s="55"/>
      <c r="P62" s="56"/>
      <c r="Q62" s="8"/>
      <c r="R62" s="9">
        <v>10209922.85999998</v>
      </c>
      <c r="S62" s="14">
        <v>0.12998892198154985</v>
      </c>
      <c r="T62" s="10">
        <v>1471</v>
      </c>
      <c r="U62" s="14">
        <v>0.10238741560520638</v>
      </c>
      <c r="V62" s="56"/>
      <c r="W62" s="55"/>
      <c r="X62" s="56"/>
      <c r="Y62" s="9">
        <v>10830452.070000013</v>
      </c>
      <c r="Z62" s="14">
        <v>0.1338685246807374</v>
      </c>
      <c r="AA62" s="10">
        <v>1563</v>
      </c>
      <c r="AB62" s="14">
        <v>0.1075705437026841</v>
      </c>
      <c r="AC62" s="56"/>
      <c r="AD62" s="55"/>
      <c r="AE62" s="56"/>
      <c r="AF62" s="9">
        <v>10925534.62999999</v>
      </c>
      <c r="AG62" s="14">
        <v>0.13608526744034827</v>
      </c>
      <c r="AH62" s="10">
        <v>1579</v>
      </c>
      <c r="AI62" s="14">
        <v>0.11113457207207207</v>
      </c>
      <c r="AJ62" s="56"/>
      <c r="AK62" s="55"/>
      <c r="AL62" s="56"/>
      <c r="AM62" s="9">
        <v>10686377.270000001</v>
      </c>
      <c r="AN62" s="14">
        <v>0.13091128767186547</v>
      </c>
      <c r="AO62" s="10">
        <v>1549</v>
      </c>
      <c r="AP62" s="14">
        <v>0.10941583668856396</v>
      </c>
      <c r="AQ62" s="56"/>
      <c r="AR62" s="55"/>
      <c r="AS62" s="56"/>
      <c r="AT62" s="9">
        <v>10481160.770000014</v>
      </c>
      <c r="AU62" s="14">
        <v>0.13041963482631375</v>
      </c>
      <c r="AV62" s="10">
        <v>1512</v>
      </c>
      <c r="AW62" s="14">
        <v>0.10969239698200813</v>
      </c>
      <c r="AX62" s="56"/>
      <c r="AY62" s="55"/>
      <c r="AZ62" s="56"/>
      <c r="BA62" s="9">
        <v>10582642.099999983</v>
      </c>
      <c r="BB62" s="14">
        <v>0.12686656384381115</v>
      </c>
      <c r="BC62" s="10">
        <v>1529</v>
      </c>
      <c r="BD62" s="14">
        <v>0.10920648525105349</v>
      </c>
      <c r="BE62" s="56"/>
      <c r="BF62" s="55"/>
      <c r="BG62" s="56"/>
      <c r="BH62" s="9">
        <v>9863714.580000013</v>
      </c>
      <c r="BI62" s="14">
        <v>0.12933948057824457</v>
      </c>
      <c r="BJ62" s="10">
        <v>1426</v>
      </c>
      <c r="BK62" s="14">
        <v>0.11622789143369468</v>
      </c>
      <c r="BL62" s="56"/>
      <c r="BM62" s="55"/>
      <c r="BN62" s="56"/>
      <c r="BO62" s="9">
        <v>9306938.759999983</v>
      </c>
      <c r="BP62" s="14">
        <v>0.13294223401004165</v>
      </c>
      <c r="BQ62" s="10">
        <v>1346</v>
      </c>
      <c r="BR62" s="14">
        <v>0.11866349290311205</v>
      </c>
      <c r="BS62" s="56"/>
      <c r="BT62" s="55"/>
      <c r="BU62" s="56"/>
      <c r="BV62" s="9">
        <v>8240203.069999995</v>
      </c>
      <c r="BW62" s="14">
        <v>0.12848447371009117</v>
      </c>
      <c r="BX62" s="10">
        <v>1192</v>
      </c>
      <c r="BY62" s="14">
        <v>0.11344817740553917</v>
      </c>
      <c r="BZ62" s="56"/>
      <c r="CA62" s="55"/>
      <c r="CB62" s="56"/>
      <c r="CC62" s="9">
        <v>7402631.819999993</v>
      </c>
      <c r="CD62" s="14">
        <v>0.12516454607121327</v>
      </c>
      <c r="CE62" s="10">
        <v>1068</v>
      </c>
      <c r="CF62" s="14">
        <v>0.10861385131699379</v>
      </c>
      <c r="CG62" s="56"/>
      <c r="CH62" s="55"/>
      <c r="CI62" s="56"/>
      <c r="CJ62" s="9">
        <v>6817432.49999999</v>
      </c>
      <c r="CK62" s="14">
        <v>0.12533812603863081</v>
      </c>
      <c r="CL62" s="10">
        <v>982</v>
      </c>
      <c r="CM62" s="14">
        <v>0.10768724640859743</v>
      </c>
      <c r="CN62" s="56"/>
      <c r="CO62" s="55"/>
      <c r="CP62" s="56"/>
      <c r="CQ62" s="9">
        <v>6143679.270000001</v>
      </c>
      <c r="CR62" s="14">
        <v>0.12292697302692272</v>
      </c>
      <c r="CS62" s="10">
        <v>889</v>
      </c>
      <c r="CT62" s="14">
        <v>0.10626344728663639</v>
      </c>
      <c r="CU62" s="56"/>
      <c r="CV62" s="55"/>
      <c r="CW62" s="56"/>
      <c r="CX62" s="9">
        <v>5431966.429999995</v>
      </c>
      <c r="CY62" s="14">
        <v>0.1172023449995287</v>
      </c>
      <c r="CZ62" s="10">
        <v>788</v>
      </c>
      <c r="DA62" s="14">
        <v>0.10085754511711251</v>
      </c>
      <c r="DB62" s="56"/>
      <c r="DC62" s="55"/>
      <c r="DD62" s="56"/>
    </row>
    <row r="63" spans="1:108" ht="12.75">
      <c r="A63" s="8" t="s">
        <v>21</v>
      </c>
      <c r="B63" s="8"/>
      <c r="C63" s="8"/>
      <c r="D63" s="9">
        <v>11835750.970000027</v>
      </c>
      <c r="E63" s="14">
        <f t="shared" si="11"/>
        <v>0.12948094787339015</v>
      </c>
      <c r="F63" s="10">
        <v>1324</v>
      </c>
      <c r="G63" s="14">
        <f t="shared" si="12"/>
        <v>0.06972824942068676</v>
      </c>
      <c r="H63" s="8"/>
      <c r="I63" s="8"/>
      <c r="J63" s="9">
        <v>10753723.169999998</v>
      </c>
      <c r="K63" s="14">
        <f t="shared" si="13"/>
        <v>0.12922922569148038</v>
      </c>
      <c r="L63" s="10">
        <v>1200</v>
      </c>
      <c r="M63" s="14">
        <f t="shared" si="14"/>
        <v>0.07902535396773132</v>
      </c>
      <c r="N63" s="56"/>
      <c r="O63" s="55"/>
      <c r="P63" s="56"/>
      <c r="Q63" s="8"/>
      <c r="R63" s="9">
        <v>10937328.029999983</v>
      </c>
      <c r="S63" s="14">
        <v>0.13924997274448445</v>
      </c>
      <c r="T63" s="10">
        <v>1219</v>
      </c>
      <c r="U63" s="14">
        <v>0.0848472193220575</v>
      </c>
      <c r="V63" s="56"/>
      <c r="W63" s="55"/>
      <c r="X63" s="56"/>
      <c r="Y63" s="9">
        <v>11500277.210000012</v>
      </c>
      <c r="Z63" s="14">
        <v>0.1421478192758584</v>
      </c>
      <c r="AA63" s="10">
        <v>1281</v>
      </c>
      <c r="AB63" s="14">
        <v>0.08816242257398486</v>
      </c>
      <c r="AC63" s="56"/>
      <c r="AD63" s="55"/>
      <c r="AE63" s="56"/>
      <c r="AF63" s="9">
        <v>11081485.23999999</v>
      </c>
      <c r="AG63" s="14">
        <v>0.13802774267730933</v>
      </c>
      <c r="AH63" s="10">
        <v>1236</v>
      </c>
      <c r="AI63" s="14">
        <v>0.08699324324324324</v>
      </c>
      <c r="AJ63" s="56"/>
      <c r="AK63" s="55"/>
      <c r="AL63" s="56"/>
      <c r="AM63" s="9">
        <v>11344878.329999994</v>
      </c>
      <c r="AN63" s="14">
        <v>0.13897812075475618</v>
      </c>
      <c r="AO63" s="10">
        <v>1264</v>
      </c>
      <c r="AP63" s="14">
        <v>0.08928445292081656</v>
      </c>
      <c r="AQ63" s="56"/>
      <c r="AR63" s="55"/>
      <c r="AS63" s="56"/>
      <c r="AT63" s="9">
        <v>10673420.459999984</v>
      </c>
      <c r="AU63" s="14">
        <v>0.13281196894959008</v>
      </c>
      <c r="AV63" s="10">
        <v>1189</v>
      </c>
      <c r="AW63" s="14">
        <v>0.08625943122460825</v>
      </c>
      <c r="AX63" s="56"/>
      <c r="AY63" s="55"/>
      <c r="AZ63" s="56"/>
      <c r="BA63" s="9">
        <v>10235419.89</v>
      </c>
      <c r="BB63" s="14">
        <v>0.1227040032793797</v>
      </c>
      <c r="BC63" s="10">
        <v>1142</v>
      </c>
      <c r="BD63" s="14">
        <v>0.08156560245696735</v>
      </c>
      <c r="BE63" s="56"/>
      <c r="BF63" s="55"/>
      <c r="BG63" s="56"/>
      <c r="BH63" s="9">
        <v>9261172.100000001</v>
      </c>
      <c r="BI63" s="14">
        <v>0.12143854926505072</v>
      </c>
      <c r="BJ63" s="10">
        <v>1032</v>
      </c>
      <c r="BK63" s="14">
        <v>0.0841144347542587</v>
      </c>
      <c r="BL63" s="56"/>
      <c r="BM63" s="55"/>
      <c r="BN63" s="56"/>
      <c r="BO63" s="9">
        <v>8067247.460000009</v>
      </c>
      <c r="BP63" s="14">
        <v>0.11523422763386028</v>
      </c>
      <c r="BQ63" s="10">
        <v>898</v>
      </c>
      <c r="BR63" s="14">
        <v>0.07916776866790091</v>
      </c>
      <c r="BS63" s="56"/>
      <c r="BT63" s="55"/>
      <c r="BU63" s="56"/>
      <c r="BV63" s="9">
        <v>7410820.8299999945</v>
      </c>
      <c r="BW63" s="14">
        <v>0.11555242097963624</v>
      </c>
      <c r="BX63" s="10">
        <v>827</v>
      </c>
      <c r="BY63" s="14">
        <v>0.07870943180736652</v>
      </c>
      <c r="BZ63" s="56"/>
      <c r="CA63" s="55"/>
      <c r="CB63" s="56"/>
      <c r="CC63" s="9">
        <v>6566179.510000001</v>
      </c>
      <c r="CD63" s="14">
        <v>0.1110217146786658</v>
      </c>
      <c r="CE63" s="10">
        <v>734</v>
      </c>
      <c r="CF63" s="14">
        <v>0.07464659818976914</v>
      </c>
      <c r="CG63" s="56"/>
      <c r="CH63" s="55"/>
      <c r="CI63" s="56"/>
      <c r="CJ63" s="9">
        <v>5824576.490000005</v>
      </c>
      <c r="CK63" s="14">
        <v>0.10708452224870106</v>
      </c>
      <c r="CL63" s="10">
        <v>648</v>
      </c>
      <c r="CM63" s="14">
        <v>0.07106042329202764</v>
      </c>
      <c r="CN63" s="56"/>
      <c r="CO63" s="55"/>
      <c r="CP63" s="56"/>
      <c r="CQ63" s="9">
        <v>5438204.870000002</v>
      </c>
      <c r="CR63" s="14">
        <v>0.10881135456300763</v>
      </c>
      <c r="CS63" s="10">
        <v>603</v>
      </c>
      <c r="CT63" s="14">
        <v>0.07207745637102558</v>
      </c>
      <c r="CU63" s="56"/>
      <c r="CV63" s="55"/>
      <c r="CW63" s="56"/>
      <c r="CX63" s="9">
        <v>5054107.1</v>
      </c>
      <c r="CY63" s="14">
        <v>0.10904949646361645</v>
      </c>
      <c r="CZ63" s="10">
        <v>561</v>
      </c>
      <c r="DA63" s="14">
        <v>0.07180340458210674</v>
      </c>
      <c r="DB63" s="56"/>
      <c r="DC63" s="55"/>
      <c r="DD63" s="56"/>
    </row>
    <row r="64" spans="1:108" ht="12.75">
      <c r="A64" s="8" t="s">
        <v>22</v>
      </c>
      <c r="B64" s="8"/>
      <c r="C64" s="8"/>
      <c r="D64" s="9">
        <v>12868241.940000003</v>
      </c>
      <c r="E64" s="14">
        <f t="shared" si="11"/>
        <v>0.14077620998266996</v>
      </c>
      <c r="F64" s="10">
        <v>1176</v>
      </c>
      <c r="G64" s="14">
        <f t="shared" si="12"/>
        <v>0.061933852959764064</v>
      </c>
      <c r="H64" s="8"/>
      <c r="I64" s="8"/>
      <c r="J64" s="9">
        <v>12204484.81000001</v>
      </c>
      <c r="K64" s="14">
        <f t="shared" si="13"/>
        <v>0.14666326229780896</v>
      </c>
      <c r="L64" s="10">
        <v>1116</v>
      </c>
      <c r="M64" s="14">
        <f t="shared" si="14"/>
        <v>0.07349357918999012</v>
      </c>
      <c r="N64" s="56"/>
      <c r="O64" s="55"/>
      <c r="P64" s="56"/>
      <c r="Q64" s="8"/>
      <c r="R64" s="9">
        <v>11240225.059999991</v>
      </c>
      <c r="S64" s="14">
        <v>0.1431063445252517</v>
      </c>
      <c r="T64" s="10">
        <v>1029</v>
      </c>
      <c r="U64" s="14">
        <v>0.07162246815619128</v>
      </c>
      <c r="V64" s="56"/>
      <c r="W64" s="55"/>
      <c r="X64" s="56"/>
      <c r="Y64" s="9">
        <v>11271670.829999978</v>
      </c>
      <c r="Z64" s="14">
        <v>0.13932215709431583</v>
      </c>
      <c r="AA64" s="10">
        <v>1029</v>
      </c>
      <c r="AB64" s="14">
        <v>0.07081899518238129</v>
      </c>
      <c r="AC64" s="56"/>
      <c r="AD64" s="55"/>
      <c r="AE64" s="56"/>
      <c r="AF64" s="9">
        <v>10907301.769999979</v>
      </c>
      <c r="AG64" s="14">
        <v>0.13585816426294486</v>
      </c>
      <c r="AH64" s="10">
        <v>1001</v>
      </c>
      <c r="AI64" s="14">
        <v>0.07045326576576577</v>
      </c>
      <c r="AJ64" s="56"/>
      <c r="AK64" s="55"/>
      <c r="AL64" s="56"/>
      <c r="AM64" s="9">
        <v>10236602.890000025</v>
      </c>
      <c r="AN64" s="14">
        <v>0.12540141825962714</v>
      </c>
      <c r="AO64" s="10">
        <v>938</v>
      </c>
      <c r="AP64" s="14">
        <v>0.06625697534788444</v>
      </c>
      <c r="AQ64" s="56"/>
      <c r="AR64" s="55"/>
      <c r="AS64" s="56"/>
      <c r="AT64" s="9">
        <v>9714537.949999992</v>
      </c>
      <c r="AU64" s="14">
        <v>0.12088036046272418</v>
      </c>
      <c r="AV64" s="10">
        <v>888</v>
      </c>
      <c r="AW64" s="14">
        <v>0.06442251886244922</v>
      </c>
      <c r="AX64" s="56"/>
      <c r="AY64" s="55"/>
      <c r="AZ64" s="56"/>
      <c r="BA64" s="9">
        <v>9664360.549999993</v>
      </c>
      <c r="BB64" s="14">
        <v>0.11585804406313487</v>
      </c>
      <c r="BC64" s="10">
        <v>886</v>
      </c>
      <c r="BD64" s="14">
        <v>0.06328119420041425</v>
      </c>
      <c r="BE64" s="56"/>
      <c r="BF64" s="55"/>
      <c r="BG64" s="56"/>
      <c r="BH64" s="9">
        <v>8495217.650000004</v>
      </c>
      <c r="BI64" s="14">
        <v>0.1113948532612685</v>
      </c>
      <c r="BJ64" s="10">
        <v>781</v>
      </c>
      <c r="BK64" s="14">
        <v>0.06365636971228299</v>
      </c>
      <c r="BL64" s="56"/>
      <c r="BM64" s="55"/>
      <c r="BN64" s="56"/>
      <c r="BO64" s="9">
        <v>7619124.530000006</v>
      </c>
      <c r="BP64" s="14">
        <v>0.10883314721831384</v>
      </c>
      <c r="BQ64" s="10">
        <v>701</v>
      </c>
      <c r="BR64" s="14">
        <v>0.06180022921625672</v>
      </c>
      <c r="BS64" s="56"/>
      <c r="BT64" s="55"/>
      <c r="BU64" s="56"/>
      <c r="BV64" s="9">
        <v>6851739.129999998</v>
      </c>
      <c r="BW64" s="14">
        <v>0.1068350001375498</v>
      </c>
      <c r="BX64" s="10">
        <v>630</v>
      </c>
      <c r="BY64" s="14">
        <v>0.05996002664890073</v>
      </c>
      <c r="BZ64" s="56"/>
      <c r="CA64" s="55"/>
      <c r="CB64" s="56"/>
      <c r="CC64" s="9">
        <v>6139723.169999997</v>
      </c>
      <c r="CD64" s="14">
        <v>0.10381114207243675</v>
      </c>
      <c r="CE64" s="10">
        <v>566</v>
      </c>
      <c r="CF64" s="14">
        <v>0.05756127326350046</v>
      </c>
      <c r="CG64" s="56"/>
      <c r="CH64" s="55"/>
      <c r="CI64" s="56"/>
      <c r="CJ64" s="9">
        <v>5660876.069999999</v>
      </c>
      <c r="CK64" s="14">
        <v>0.10407489892283203</v>
      </c>
      <c r="CL64" s="10">
        <v>522</v>
      </c>
      <c r="CM64" s="14">
        <v>0.05724311876302226</v>
      </c>
      <c r="CN64" s="56"/>
      <c r="CO64" s="55"/>
      <c r="CP64" s="56"/>
      <c r="CQ64" s="9">
        <v>5140567.94</v>
      </c>
      <c r="CR64" s="14">
        <v>0.10285602954391265</v>
      </c>
      <c r="CS64" s="10">
        <v>473</v>
      </c>
      <c r="CT64" s="14">
        <v>0.05653836959120249</v>
      </c>
      <c r="CU64" s="56"/>
      <c r="CV64" s="55"/>
      <c r="CW64" s="56"/>
      <c r="CX64" s="9">
        <v>4747645.69</v>
      </c>
      <c r="CY64" s="14">
        <v>0.10243715885683524</v>
      </c>
      <c r="CZ64" s="10">
        <v>437</v>
      </c>
      <c r="DA64" s="14">
        <v>0.055932420325099194</v>
      </c>
      <c r="DB64" s="56"/>
      <c r="DC64" s="55"/>
      <c r="DD64" s="56"/>
    </row>
    <row r="65" spans="1:108" ht="12.75">
      <c r="A65" s="8" t="s">
        <v>23</v>
      </c>
      <c r="B65" s="8"/>
      <c r="C65" s="8"/>
      <c r="D65" s="9">
        <v>11858604.729999969</v>
      </c>
      <c r="E65" s="14">
        <f t="shared" si="11"/>
        <v>0.12973096382208354</v>
      </c>
      <c r="F65" s="10">
        <v>919</v>
      </c>
      <c r="G65" s="14">
        <f t="shared" si="12"/>
        <v>0.04839898883505372</v>
      </c>
      <c r="H65" s="8"/>
      <c r="I65" s="8"/>
      <c r="J65" s="9">
        <v>9838691.199999997</v>
      </c>
      <c r="K65" s="14">
        <f t="shared" si="13"/>
        <v>0.11823313893187952</v>
      </c>
      <c r="L65" s="10">
        <v>765</v>
      </c>
      <c r="M65" s="14">
        <f t="shared" si="14"/>
        <v>0.05037866315442871</v>
      </c>
      <c r="N65" s="56"/>
      <c r="O65" s="55"/>
      <c r="P65" s="56"/>
      <c r="Q65" s="8"/>
      <c r="R65" s="9">
        <v>8809112.109999996</v>
      </c>
      <c r="S65" s="14">
        <v>0.11215432305367266</v>
      </c>
      <c r="T65" s="10">
        <v>686</v>
      </c>
      <c r="U65" s="14">
        <v>0.04774831210412751</v>
      </c>
      <c r="V65" s="56"/>
      <c r="W65" s="55"/>
      <c r="X65" s="56"/>
      <c r="Y65" s="9">
        <v>8291825.320000004</v>
      </c>
      <c r="Z65" s="14">
        <v>0.10249012832746718</v>
      </c>
      <c r="AA65" s="10">
        <v>642</v>
      </c>
      <c r="AB65" s="14">
        <v>0.044184445973847214</v>
      </c>
      <c r="AC65" s="56"/>
      <c r="AD65" s="55"/>
      <c r="AE65" s="56"/>
      <c r="AF65" s="9">
        <v>7768895.019999997</v>
      </c>
      <c r="AG65" s="14">
        <v>0.09676708667507014</v>
      </c>
      <c r="AH65" s="10">
        <v>603</v>
      </c>
      <c r="AI65" s="14">
        <v>0.04244087837837838</v>
      </c>
      <c r="AJ65" s="56"/>
      <c r="AK65" s="55"/>
      <c r="AL65" s="56"/>
      <c r="AM65" s="9">
        <v>7519761.829999999</v>
      </c>
      <c r="AN65" s="14">
        <v>0.09211931034052322</v>
      </c>
      <c r="AO65" s="10">
        <v>583</v>
      </c>
      <c r="AP65" s="14">
        <v>0.041181041181041184</v>
      </c>
      <c r="AQ65" s="56"/>
      <c r="AR65" s="55"/>
      <c r="AS65" s="56"/>
      <c r="AT65" s="9">
        <v>7261973.8800000055</v>
      </c>
      <c r="AU65" s="14">
        <v>0.0903625087269631</v>
      </c>
      <c r="AV65" s="10">
        <v>560</v>
      </c>
      <c r="AW65" s="14">
        <v>0.04062681369704005</v>
      </c>
      <c r="AX65" s="56"/>
      <c r="AY65" s="55"/>
      <c r="AZ65" s="56"/>
      <c r="BA65" s="9">
        <v>7660501.080000001</v>
      </c>
      <c r="BB65" s="14">
        <v>0.0918354263668622</v>
      </c>
      <c r="BC65" s="10">
        <v>590</v>
      </c>
      <c r="BD65" s="14">
        <v>0.04213984715377473</v>
      </c>
      <c r="BE65" s="56"/>
      <c r="BF65" s="55"/>
      <c r="BG65" s="56"/>
      <c r="BH65" s="9">
        <v>7562823.300000005</v>
      </c>
      <c r="BI65" s="14">
        <v>0.09916868836720182</v>
      </c>
      <c r="BJ65" s="10">
        <v>581</v>
      </c>
      <c r="BK65" s="14">
        <v>0.04735512266688402</v>
      </c>
      <c r="BL65" s="56"/>
      <c r="BM65" s="55"/>
      <c r="BN65" s="56"/>
      <c r="BO65" s="9">
        <v>7482149.280000006</v>
      </c>
      <c r="BP65" s="14">
        <v>0.10687656447841795</v>
      </c>
      <c r="BQ65" s="10">
        <v>573</v>
      </c>
      <c r="BR65" s="14">
        <v>0.05051573657762497</v>
      </c>
      <c r="BS65" s="56"/>
      <c r="BT65" s="55"/>
      <c r="BU65" s="56"/>
      <c r="BV65" s="9">
        <v>7076258.490000002</v>
      </c>
      <c r="BW65" s="14">
        <v>0.11033579393623066</v>
      </c>
      <c r="BX65" s="10">
        <v>542</v>
      </c>
      <c r="BY65" s="14">
        <v>0.051584657847149516</v>
      </c>
      <c r="BZ65" s="56"/>
      <c r="CA65" s="55"/>
      <c r="CB65" s="56"/>
      <c r="CC65" s="9">
        <v>7095228.560000002</v>
      </c>
      <c r="CD65" s="14">
        <v>0.1199669365676908</v>
      </c>
      <c r="CE65" s="10">
        <v>544</v>
      </c>
      <c r="CF65" s="14">
        <v>0.05532390928506051</v>
      </c>
      <c r="CG65" s="56"/>
      <c r="CH65" s="55"/>
      <c r="CI65" s="56"/>
      <c r="CJ65" s="9">
        <v>6841395.170000008</v>
      </c>
      <c r="CK65" s="14">
        <v>0.1257786784243984</v>
      </c>
      <c r="CL65" s="10">
        <v>525</v>
      </c>
      <c r="CM65" s="14">
        <v>0.057572102204189055</v>
      </c>
      <c r="CN65" s="56"/>
      <c r="CO65" s="55"/>
      <c r="CP65" s="56"/>
      <c r="CQ65" s="9">
        <v>6335329.300000001</v>
      </c>
      <c r="CR65" s="14">
        <v>0.12676163903617532</v>
      </c>
      <c r="CS65" s="10">
        <v>488</v>
      </c>
      <c r="CT65" s="14">
        <v>0.05833134114272054</v>
      </c>
      <c r="CU65" s="56"/>
      <c r="CV65" s="55"/>
      <c r="CW65" s="56"/>
      <c r="CX65" s="9">
        <v>6073996.44</v>
      </c>
      <c r="CY65" s="14">
        <v>0.13105504893313374</v>
      </c>
      <c r="CZ65" s="10">
        <v>469</v>
      </c>
      <c r="DA65" s="14">
        <v>0.06002815819787534</v>
      </c>
      <c r="DB65" s="56"/>
      <c r="DC65" s="55"/>
      <c r="DD65" s="56"/>
    </row>
    <row r="66" spans="1:108" ht="12.75">
      <c r="A66" s="8" t="s">
        <v>24</v>
      </c>
      <c r="B66" s="8"/>
      <c r="C66" s="8"/>
      <c r="D66" s="9">
        <v>7450182.379999994</v>
      </c>
      <c r="E66" s="14">
        <f t="shared" si="11"/>
        <v>0.0815036307233175</v>
      </c>
      <c r="F66" s="10">
        <v>497</v>
      </c>
      <c r="G66" s="14">
        <f t="shared" si="12"/>
        <v>0.02617442595323362</v>
      </c>
      <c r="H66" s="8"/>
      <c r="I66" s="8"/>
      <c r="J66" s="9">
        <v>6693009.540000003</v>
      </c>
      <c r="K66" s="14">
        <f t="shared" si="13"/>
        <v>0.08043097508896463</v>
      </c>
      <c r="L66" s="10">
        <v>449</v>
      </c>
      <c r="M66" s="14">
        <f t="shared" si="14"/>
        <v>0.029568653276259467</v>
      </c>
      <c r="N66" s="56"/>
      <c r="O66" s="55"/>
      <c r="P66" s="56"/>
      <c r="Q66" s="8"/>
      <c r="R66" s="9">
        <v>6540724.229999995</v>
      </c>
      <c r="S66" s="14">
        <v>0.08327405635622047</v>
      </c>
      <c r="T66" s="10">
        <v>440</v>
      </c>
      <c r="U66" s="14">
        <v>0.030625739542005984</v>
      </c>
      <c r="V66" s="56"/>
      <c r="W66" s="55"/>
      <c r="X66" s="56"/>
      <c r="Y66" s="9">
        <v>7044259.100000007</v>
      </c>
      <c r="Z66" s="14">
        <v>0.08706973329376996</v>
      </c>
      <c r="AA66" s="10">
        <v>473</v>
      </c>
      <c r="AB66" s="14">
        <v>0.032553337921541636</v>
      </c>
      <c r="AC66" s="56"/>
      <c r="AD66" s="55"/>
      <c r="AE66" s="56"/>
      <c r="AF66" s="9">
        <v>7664219.440000012</v>
      </c>
      <c r="AG66" s="14">
        <v>0.09546327823171422</v>
      </c>
      <c r="AH66" s="10">
        <v>517</v>
      </c>
      <c r="AI66" s="14">
        <v>0.03638795045045045</v>
      </c>
      <c r="AJ66" s="56"/>
      <c r="AK66" s="55"/>
      <c r="AL66" s="56"/>
      <c r="AM66" s="9">
        <v>8675535.25</v>
      </c>
      <c r="AN66" s="14">
        <v>0.10627787716315196</v>
      </c>
      <c r="AO66" s="10">
        <v>586</v>
      </c>
      <c r="AP66" s="14">
        <v>0.041392950483859575</v>
      </c>
      <c r="AQ66" s="56"/>
      <c r="AR66" s="55"/>
      <c r="AS66" s="56"/>
      <c r="AT66" s="9">
        <v>9235946.859999998</v>
      </c>
      <c r="AU66" s="14">
        <v>0.11492513502933675</v>
      </c>
      <c r="AV66" s="10">
        <v>624</v>
      </c>
      <c r="AW66" s="14">
        <v>0.04526987811955891</v>
      </c>
      <c r="AX66" s="56"/>
      <c r="AY66" s="55"/>
      <c r="AZ66" s="56"/>
      <c r="BA66" s="9">
        <v>10648825.299999991</v>
      </c>
      <c r="BB66" s="14">
        <v>0.12765997961738143</v>
      </c>
      <c r="BC66" s="10">
        <v>718</v>
      </c>
      <c r="BD66" s="14">
        <v>0.05128205128205128</v>
      </c>
      <c r="BE66" s="56"/>
      <c r="BF66" s="55"/>
      <c r="BG66" s="56"/>
      <c r="BH66" s="9">
        <v>9764868.300000003</v>
      </c>
      <c r="BI66" s="14">
        <v>0.12804334346797014</v>
      </c>
      <c r="BJ66" s="10">
        <v>657</v>
      </c>
      <c r="BK66" s="14">
        <v>0.05354959654413562</v>
      </c>
      <c r="BL66" s="56"/>
      <c r="BM66" s="55"/>
      <c r="BN66" s="56"/>
      <c r="BO66" s="9">
        <v>9171842.42</v>
      </c>
      <c r="BP66" s="14">
        <v>0.1310124900083547</v>
      </c>
      <c r="BQ66" s="10">
        <v>614</v>
      </c>
      <c r="BR66" s="14">
        <v>0.054130300625936704</v>
      </c>
      <c r="BS66" s="56"/>
      <c r="BT66" s="55"/>
      <c r="BU66" s="56"/>
      <c r="BV66" s="9">
        <v>8792416.809999999</v>
      </c>
      <c r="BW66" s="14">
        <v>0.1370948066298819</v>
      </c>
      <c r="BX66" s="10">
        <v>588</v>
      </c>
      <c r="BY66" s="14">
        <v>0.05596269153897402</v>
      </c>
      <c r="BZ66" s="56"/>
      <c r="CA66" s="55"/>
      <c r="CB66" s="56"/>
      <c r="CC66" s="9">
        <v>8536206.010000005</v>
      </c>
      <c r="CD66" s="14">
        <v>0.1443311482175017</v>
      </c>
      <c r="CE66" s="10">
        <v>569</v>
      </c>
      <c r="CF66" s="14">
        <v>0.05786636835146954</v>
      </c>
      <c r="CG66" s="56"/>
      <c r="CH66" s="55"/>
      <c r="CI66" s="56"/>
      <c r="CJ66" s="9">
        <v>7891272.1200000085</v>
      </c>
      <c r="CK66" s="14">
        <v>0.14508060909758858</v>
      </c>
      <c r="CL66" s="10">
        <v>525</v>
      </c>
      <c r="CM66" s="14">
        <v>0.057572102204189055</v>
      </c>
      <c r="CN66" s="56"/>
      <c r="CO66" s="55"/>
      <c r="CP66" s="56"/>
      <c r="CQ66" s="9">
        <v>7265889.499999995</v>
      </c>
      <c r="CR66" s="14">
        <v>0.14538092946103617</v>
      </c>
      <c r="CS66" s="10">
        <v>485</v>
      </c>
      <c r="CT66" s="14">
        <v>0.057972746832416926</v>
      </c>
      <c r="CU66" s="56"/>
      <c r="CV66" s="55"/>
      <c r="CW66" s="56"/>
      <c r="CX66" s="9">
        <v>6649741.680000002</v>
      </c>
      <c r="CY66" s="14">
        <v>0.14347756536799997</v>
      </c>
      <c r="CZ66" s="10">
        <v>445</v>
      </c>
      <c r="DA66" s="14">
        <v>0.05695635479329323</v>
      </c>
      <c r="DB66" s="56"/>
      <c r="DC66" s="55"/>
      <c r="DD66" s="56"/>
    </row>
    <row r="67" spans="1:108" ht="12.75">
      <c r="A67" s="8" t="s">
        <v>0</v>
      </c>
      <c r="B67" s="8"/>
      <c r="C67" s="8"/>
      <c r="D67" s="9">
        <v>4435333.76</v>
      </c>
      <c r="E67" s="14">
        <f t="shared" si="11"/>
        <v>0.04852173899529471</v>
      </c>
      <c r="F67" s="10">
        <v>262</v>
      </c>
      <c r="G67" s="14">
        <f t="shared" si="12"/>
        <v>0.013798188329471245</v>
      </c>
      <c r="H67" s="8"/>
      <c r="I67" s="8"/>
      <c r="J67" s="9">
        <v>4140867.27</v>
      </c>
      <c r="K67" s="14">
        <f t="shared" si="13"/>
        <v>0.04976146982155338</v>
      </c>
      <c r="L67" s="10">
        <v>245</v>
      </c>
      <c r="M67" s="14">
        <f t="shared" si="14"/>
        <v>0.016134343101745142</v>
      </c>
      <c r="N67" s="56"/>
      <c r="O67" s="55"/>
      <c r="P67" s="56"/>
      <c r="Q67" s="8"/>
      <c r="R67" s="9">
        <v>3959261.03</v>
      </c>
      <c r="S67" s="14">
        <v>0.05040783169377065</v>
      </c>
      <c r="T67" s="10">
        <v>235</v>
      </c>
      <c r="U67" s="14">
        <v>0.016356929073571377</v>
      </c>
      <c r="V67" s="56"/>
      <c r="W67" s="55"/>
      <c r="X67" s="56"/>
      <c r="Y67" s="9">
        <v>5622791.439999999</v>
      </c>
      <c r="Z67" s="14">
        <v>0.06949985003352477</v>
      </c>
      <c r="AA67" s="10">
        <v>334</v>
      </c>
      <c r="AB67" s="14">
        <v>0.022986923606331727</v>
      </c>
      <c r="AC67" s="56"/>
      <c r="AD67" s="55"/>
      <c r="AE67" s="56"/>
      <c r="AF67" s="9">
        <v>6982028.46</v>
      </c>
      <c r="AG67" s="14">
        <v>0.08696610668792726</v>
      </c>
      <c r="AH67" s="10">
        <v>415</v>
      </c>
      <c r="AI67" s="14">
        <v>0.029208896396396396</v>
      </c>
      <c r="AJ67" s="56"/>
      <c r="AK67" s="55"/>
      <c r="AL67" s="56"/>
      <c r="AM67" s="9">
        <v>8453415.469999997</v>
      </c>
      <c r="AN67" s="14">
        <v>0.10355684404944908</v>
      </c>
      <c r="AO67" s="10">
        <v>503</v>
      </c>
      <c r="AP67" s="14">
        <v>0.035530126439217345</v>
      </c>
      <c r="AQ67" s="56"/>
      <c r="AR67" s="55"/>
      <c r="AS67" s="56"/>
      <c r="AT67" s="9">
        <v>8901630.16</v>
      </c>
      <c r="AU67" s="14">
        <v>0.11076515095055633</v>
      </c>
      <c r="AV67" s="10">
        <v>530</v>
      </c>
      <c r="AW67" s="14">
        <v>0.03845037724898433</v>
      </c>
      <c r="AX67" s="56"/>
      <c r="AY67" s="55"/>
      <c r="AZ67" s="56"/>
      <c r="BA67" s="9">
        <v>10348925.660000002</v>
      </c>
      <c r="BB67" s="14">
        <v>0.12406473029634517</v>
      </c>
      <c r="BC67" s="10">
        <v>616</v>
      </c>
      <c r="BD67" s="14">
        <v>0.0439968573673309</v>
      </c>
      <c r="BE67" s="56"/>
      <c r="BF67" s="55"/>
      <c r="BG67" s="56"/>
      <c r="BH67" s="9">
        <v>9013145.310000002</v>
      </c>
      <c r="BI67" s="14">
        <v>0.1181862596810501</v>
      </c>
      <c r="BJ67" s="10">
        <v>540</v>
      </c>
      <c r="BK67" s="14">
        <v>0.04401336702257723</v>
      </c>
      <c r="BL67" s="56"/>
      <c r="BM67" s="55"/>
      <c r="BN67" s="56"/>
      <c r="BO67" s="9">
        <v>7644906.010000006</v>
      </c>
      <c r="BP67" s="14">
        <v>0.10920141519940511</v>
      </c>
      <c r="BQ67" s="10">
        <v>459</v>
      </c>
      <c r="BR67" s="14">
        <v>0.04046548532134356</v>
      </c>
      <c r="BS67" s="56"/>
      <c r="BT67" s="55"/>
      <c r="BU67" s="56"/>
      <c r="BV67" s="9">
        <v>6243516.78</v>
      </c>
      <c r="BW67" s="14">
        <v>0.09735135903373116</v>
      </c>
      <c r="BX67" s="10">
        <v>375</v>
      </c>
      <c r="BY67" s="14">
        <v>0.035690492052917105</v>
      </c>
      <c r="BZ67" s="56"/>
      <c r="CA67" s="55"/>
      <c r="CB67" s="56"/>
      <c r="CC67" s="9">
        <v>4990056.3</v>
      </c>
      <c r="CD67" s="14">
        <v>0.08437244305084174</v>
      </c>
      <c r="CE67" s="10">
        <v>299</v>
      </c>
      <c r="CF67" s="14">
        <v>0.03040781043425201</v>
      </c>
      <c r="CG67" s="56"/>
      <c r="CH67" s="55"/>
      <c r="CI67" s="56"/>
      <c r="CJ67" s="9">
        <v>4173625.63</v>
      </c>
      <c r="CK67" s="14">
        <v>0.07673188040380312</v>
      </c>
      <c r="CL67" s="10">
        <v>249</v>
      </c>
      <c r="CM67" s="14">
        <v>0.02730562561684395</v>
      </c>
      <c r="CN67" s="56"/>
      <c r="CO67" s="55"/>
      <c r="CP67" s="56"/>
      <c r="CQ67" s="9">
        <v>3745922.33</v>
      </c>
      <c r="CR67" s="14">
        <v>0.07495099808829332</v>
      </c>
      <c r="CS67" s="10">
        <v>223</v>
      </c>
      <c r="CT67" s="14">
        <v>0.026655510399235</v>
      </c>
      <c r="CU67" s="56"/>
      <c r="CV67" s="55"/>
      <c r="CW67" s="56"/>
      <c r="CX67" s="9">
        <v>3380881.15</v>
      </c>
      <c r="CY67" s="14">
        <v>0.0729472842019577</v>
      </c>
      <c r="CZ67" s="10">
        <v>201</v>
      </c>
      <c r="DA67" s="14">
        <v>0.025726353513375145</v>
      </c>
      <c r="DB67" s="56"/>
      <c r="DC67" s="55"/>
      <c r="DD67" s="56"/>
    </row>
    <row r="68" spans="1:108" ht="12.75">
      <c r="A68" s="8" t="s">
        <v>1</v>
      </c>
      <c r="B68" s="8"/>
      <c r="C68" s="8"/>
      <c r="D68" s="9">
        <v>2597981.6</v>
      </c>
      <c r="E68" s="14">
        <f t="shared" si="11"/>
        <v>0.028421442879143815</v>
      </c>
      <c r="F68" s="10">
        <v>138</v>
      </c>
      <c r="G68" s="14">
        <f t="shared" si="12"/>
        <v>0.0072677480514008845</v>
      </c>
      <c r="H68" s="8"/>
      <c r="I68" s="8"/>
      <c r="J68" s="9">
        <v>2268180.04</v>
      </c>
      <c r="K68" s="14">
        <f t="shared" si="13"/>
        <v>0.027257085352148883</v>
      </c>
      <c r="L68" s="10">
        <v>120</v>
      </c>
      <c r="M68" s="14">
        <f t="shared" si="14"/>
        <v>0.007902535396773132</v>
      </c>
      <c r="N68" s="56"/>
      <c r="O68" s="55"/>
      <c r="P68" s="56"/>
      <c r="Q68" s="8"/>
      <c r="R68" s="9">
        <v>2300494.8</v>
      </c>
      <c r="S68" s="14">
        <v>0.029289040003203478</v>
      </c>
      <c r="T68" s="10">
        <v>122</v>
      </c>
      <c r="U68" s="14">
        <v>0.008491682327556205</v>
      </c>
      <c r="V68" s="56"/>
      <c r="W68" s="55"/>
      <c r="X68" s="56"/>
      <c r="Y68" s="9">
        <v>2395777.15</v>
      </c>
      <c r="Z68" s="14">
        <v>0.02961272073053193</v>
      </c>
      <c r="AA68" s="10">
        <v>127</v>
      </c>
      <c r="AB68" s="14">
        <v>0.008740536820371644</v>
      </c>
      <c r="AC68" s="56"/>
      <c r="AD68" s="55"/>
      <c r="AE68" s="56"/>
      <c r="AF68" s="9">
        <v>2342494.65</v>
      </c>
      <c r="AG68" s="14">
        <v>0.02917742899715977</v>
      </c>
      <c r="AH68" s="10">
        <v>124</v>
      </c>
      <c r="AI68" s="14">
        <v>0.008727477477477477</v>
      </c>
      <c r="AJ68" s="56"/>
      <c r="AK68" s="55"/>
      <c r="AL68" s="56"/>
      <c r="AM68" s="9">
        <v>2296458.77</v>
      </c>
      <c r="AN68" s="14">
        <v>0.028132300317528315</v>
      </c>
      <c r="AO68" s="10">
        <v>122</v>
      </c>
      <c r="AP68" s="14">
        <v>0.008617644981281345</v>
      </c>
      <c r="AQ68" s="56"/>
      <c r="AR68" s="55"/>
      <c r="AS68" s="56"/>
      <c r="AT68" s="9">
        <v>2101822.6</v>
      </c>
      <c r="AU68" s="14">
        <v>0.02615349024568897</v>
      </c>
      <c r="AV68" s="10">
        <v>112</v>
      </c>
      <c r="AW68" s="14">
        <v>0.00812536273940801</v>
      </c>
      <c r="AX68" s="56"/>
      <c r="AY68" s="55"/>
      <c r="AZ68" s="56"/>
      <c r="BA68" s="9">
        <v>2218449.7</v>
      </c>
      <c r="BB68" s="14">
        <v>0.02659516289408806</v>
      </c>
      <c r="BC68" s="10">
        <v>118</v>
      </c>
      <c r="BD68" s="14">
        <v>0.008427969430754946</v>
      </c>
      <c r="BE68" s="56"/>
      <c r="BF68" s="55"/>
      <c r="BG68" s="56"/>
      <c r="BH68" s="9">
        <v>2024777.3</v>
      </c>
      <c r="BI68" s="14">
        <v>0.02655020501096253</v>
      </c>
      <c r="BJ68" s="10">
        <v>108</v>
      </c>
      <c r="BK68" s="14">
        <v>0.008802673404515446</v>
      </c>
      <c r="BL68" s="56"/>
      <c r="BM68" s="55"/>
      <c r="BN68" s="56"/>
      <c r="BO68" s="9">
        <v>1857391.84</v>
      </c>
      <c r="BP68" s="14">
        <v>0.0265313683703257</v>
      </c>
      <c r="BQ68" s="10">
        <v>99</v>
      </c>
      <c r="BR68" s="14">
        <v>0.008727849775191749</v>
      </c>
      <c r="BS68" s="56"/>
      <c r="BT68" s="55"/>
      <c r="BU68" s="56"/>
      <c r="BV68" s="9">
        <v>1648517.01</v>
      </c>
      <c r="BW68" s="14">
        <v>0.025704322895040405</v>
      </c>
      <c r="BX68" s="10">
        <v>88</v>
      </c>
      <c r="BY68" s="14">
        <v>0.008375368801751213</v>
      </c>
      <c r="BZ68" s="56"/>
      <c r="CA68" s="55"/>
      <c r="CB68" s="56"/>
      <c r="CC68" s="9">
        <v>1536424.57</v>
      </c>
      <c r="CD68" s="14">
        <v>0.025978042479047565</v>
      </c>
      <c r="CE68" s="10">
        <v>82</v>
      </c>
      <c r="CF68" s="14">
        <v>0.008339265737821622</v>
      </c>
      <c r="CG68" s="56"/>
      <c r="CH68" s="55"/>
      <c r="CI68" s="56"/>
      <c r="CJ68" s="9">
        <v>1387099.21</v>
      </c>
      <c r="CK68" s="14">
        <v>0.025501743597911013</v>
      </c>
      <c r="CL68" s="10">
        <v>74</v>
      </c>
      <c r="CM68" s="14">
        <v>0.008114924882114266</v>
      </c>
      <c r="CN68" s="56"/>
      <c r="CO68" s="55"/>
      <c r="CP68" s="56"/>
      <c r="CQ68" s="9">
        <v>1258093.29</v>
      </c>
      <c r="CR68" s="14">
        <v>0.02517279843698325</v>
      </c>
      <c r="CS68" s="10">
        <v>67</v>
      </c>
      <c r="CT68" s="14">
        <v>0.008008606263447286</v>
      </c>
      <c r="CU68" s="56"/>
      <c r="CV68" s="55"/>
      <c r="CW68" s="56"/>
      <c r="CX68" s="9">
        <v>1242249.07</v>
      </c>
      <c r="CY68" s="14">
        <v>0.026803277589011864</v>
      </c>
      <c r="CZ68" s="10">
        <v>66</v>
      </c>
      <c r="DA68" s="14">
        <v>0.008447459362600794</v>
      </c>
      <c r="DB68" s="56"/>
      <c r="DC68" s="55"/>
      <c r="DD68" s="56"/>
    </row>
    <row r="69" spans="1:108" ht="12.75">
      <c r="A69" s="8" t="s">
        <v>2</v>
      </c>
      <c r="B69" s="8"/>
      <c r="C69" s="8"/>
      <c r="D69" s="9">
        <v>2384769.99</v>
      </c>
      <c r="E69" s="14">
        <f t="shared" si="11"/>
        <v>0.02608894691582164</v>
      </c>
      <c r="F69" s="10">
        <v>109</v>
      </c>
      <c r="G69" s="14">
        <f t="shared" si="12"/>
        <v>0.005740467663787655</v>
      </c>
      <c r="H69" s="8"/>
      <c r="I69" s="8"/>
      <c r="J69" s="9">
        <v>1950311.05</v>
      </c>
      <c r="K69" s="14">
        <f t="shared" si="13"/>
        <v>0.023437202433493377</v>
      </c>
      <c r="L69" s="10">
        <v>90</v>
      </c>
      <c r="M69" s="14">
        <f t="shared" si="14"/>
        <v>0.005926901547579849</v>
      </c>
      <c r="N69" s="56"/>
      <c r="O69" s="55"/>
      <c r="P69" s="56"/>
      <c r="Q69" s="8"/>
      <c r="R69" s="9">
        <v>1490051.74</v>
      </c>
      <c r="S69" s="14">
        <v>0.018970781859495155</v>
      </c>
      <c r="T69" s="10">
        <v>69</v>
      </c>
      <c r="U69" s="14">
        <v>0.004802672791814575</v>
      </c>
      <c r="V69" s="56"/>
      <c r="W69" s="55"/>
      <c r="X69" s="56"/>
      <c r="Y69" s="9">
        <v>1170284.74</v>
      </c>
      <c r="Z69" s="14">
        <v>0.014465166420350553</v>
      </c>
      <c r="AA69" s="10">
        <v>54</v>
      </c>
      <c r="AB69" s="14">
        <v>0.0037164487267721956</v>
      </c>
      <c r="AC69" s="56"/>
      <c r="AD69" s="55"/>
      <c r="AE69" s="56"/>
      <c r="AF69" s="9">
        <v>834654.95</v>
      </c>
      <c r="AG69" s="14">
        <v>0.010396218211534844</v>
      </c>
      <c r="AH69" s="10">
        <v>38</v>
      </c>
      <c r="AI69" s="14">
        <v>0.0026745495495495496</v>
      </c>
      <c r="AJ69" s="56"/>
      <c r="AK69" s="55"/>
      <c r="AL69" s="56"/>
      <c r="AM69" s="9">
        <v>693498.57</v>
      </c>
      <c r="AN69" s="14">
        <v>0.008495562949304083</v>
      </c>
      <c r="AO69" s="10">
        <v>31</v>
      </c>
      <c r="AP69" s="14">
        <v>0.0021897294624567353</v>
      </c>
      <c r="AQ69" s="56"/>
      <c r="AR69" s="55"/>
      <c r="AS69" s="56"/>
      <c r="AT69" s="9">
        <v>610645.26</v>
      </c>
      <c r="AU69" s="14">
        <v>0.0075984076158407505</v>
      </c>
      <c r="AV69" s="10">
        <v>27</v>
      </c>
      <c r="AW69" s="14">
        <v>0.001958792803250145</v>
      </c>
      <c r="AX69" s="56"/>
      <c r="AY69" s="55"/>
      <c r="AZ69" s="56"/>
      <c r="BA69" s="9">
        <v>583143.5</v>
      </c>
      <c r="BB69" s="14">
        <v>0.006990826239210489</v>
      </c>
      <c r="BC69" s="10">
        <v>26</v>
      </c>
      <c r="BD69" s="14">
        <v>0.0018570102135561746</v>
      </c>
      <c r="BE69" s="56"/>
      <c r="BF69" s="55"/>
      <c r="BG69" s="56"/>
      <c r="BH69" s="9">
        <v>517324.26</v>
      </c>
      <c r="BI69" s="14">
        <v>0.006783494244105009</v>
      </c>
      <c r="BJ69" s="10">
        <v>23</v>
      </c>
      <c r="BK69" s="14">
        <v>0.0018746434102208818</v>
      </c>
      <c r="BL69" s="56"/>
      <c r="BM69" s="55"/>
      <c r="BN69" s="56"/>
      <c r="BO69" s="9">
        <v>474055.73</v>
      </c>
      <c r="BP69" s="14">
        <v>0.006771509882747013</v>
      </c>
      <c r="BQ69" s="10">
        <v>21</v>
      </c>
      <c r="BR69" s="14">
        <v>0.0018513620735255223</v>
      </c>
      <c r="BS69" s="56"/>
      <c r="BT69" s="55"/>
      <c r="BU69" s="56"/>
      <c r="BV69" s="9">
        <v>471839.57</v>
      </c>
      <c r="BW69" s="14">
        <v>0.0073571073809769304</v>
      </c>
      <c r="BX69" s="10">
        <v>21</v>
      </c>
      <c r="BY69" s="14">
        <v>0.001998667554963358</v>
      </c>
      <c r="BZ69" s="56"/>
      <c r="CA69" s="55"/>
      <c r="CB69" s="56"/>
      <c r="CC69" s="9">
        <v>449764.48</v>
      </c>
      <c r="CD69" s="14">
        <v>0.0076046693050520146</v>
      </c>
      <c r="CE69" s="10">
        <v>20</v>
      </c>
      <c r="CF69" s="14">
        <v>0.0020339672531272247</v>
      </c>
      <c r="CG69" s="56"/>
      <c r="CH69" s="55"/>
      <c r="CI69" s="56"/>
      <c r="CJ69" s="9">
        <v>448585.99</v>
      </c>
      <c r="CK69" s="14">
        <v>0.008247229049027483</v>
      </c>
      <c r="CL69" s="10">
        <v>20</v>
      </c>
      <c r="CM69" s="14">
        <v>0.002193222941111964</v>
      </c>
      <c r="CN69" s="56"/>
      <c r="CO69" s="55"/>
      <c r="CP69" s="56"/>
      <c r="CQ69" s="9">
        <v>472367.53</v>
      </c>
      <c r="CR69" s="14">
        <v>0.00945145540110594</v>
      </c>
      <c r="CS69" s="10">
        <v>21</v>
      </c>
      <c r="CT69" s="14">
        <v>0.002510160172125269</v>
      </c>
      <c r="CU69" s="56"/>
      <c r="CV69" s="55"/>
      <c r="CW69" s="56"/>
      <c r="CX69" s="9">
        <v>431940.42</v>
      </c>
      <c r="CY69" s="14">
        <v>0.009319724408547453</v>
      </c>
      <c r="CZ69" s="10">
        <v>19</v>
      </c>
      <c r="DA69" s="14">
        <v>0.0024318443619608344</v>
      </c>
      <c r="DB69" s="56"/>
      <c r="DC69" s="55"/>
      <c r="DD69" s="56"/>
    </row>
    <row r="70" spans="1:108" ht="12.75">
      <c r="A70" s="8" t="s">
        <v>3</v>
      </c>
      <c r="B70" s="8"/>
      <c r="C70" s="8"/>
      <c r="D70" s="9">
        <v>352768.92</v>
      </c>
      <c r="E70" s="14">
        <f t="shared" si="11"/>
        <v>0.0038592273745577154</v>
      </c>
      <c r="F70" s="10">
        <v>13</v>
      </c>
      <c r="G70" s="14">
        <f t="shared" si="12"/>
        <v>0.0006846429323783442</v>
      </c>
      <c r="H70" s="8"/>
      <c r="I70" s="8"/>
      <c r="J70" s="9">
        <v>347364</v>
      </c>
      <c r="K70" s="14">
        <f t="shared" si="13"/>
        <v>0.004174329210772812</v>
      </c>
      <c r="L70" s="10">
        <v>13</v>
      </c>
      <c r="M70" s="14">
        <f t="shared" si="14"/>
        <v>0.0008561080013170892</v>
      </c>
      <c r="N70" s="56"/>
      <c r="O70" s="55"/>
      <c r="P70" s="56"/>
      <c r="Q70" s="8"/>
      <c r="R70" s="9">
        <v>289934.52</v>
      </c>
      <c r="S70" s="14">
        <v>0.0036913379480751707</v>
      </c>
      <c r="T70" s="10">
        <v>11</v>
      </c>
      <c r="U70" s="14">
        <v>0.0007656434885501497</v>
      </c>
      <c r="V70" s="56"/>
      <c r="W70" s="55"/>
      <c r="X70" s="56"/>
      <c r="Y70" s="9">
        <v>210709</v>
      </c>
      <c r="Z70" s="14">
        <v>0.0026044437281696462</v>
      </c>
      <c r="AA70" s="10">
        <v>8</v>
      </c>
      <c r="AB70" s="14">
        <v>0.0005505849965588438</v>
      </c>
      <c r="AC70" s="56"/>
      <c r="AD70" s="55"/>
      <c r="AE70" s="56"/>
      <c r="AF70" s="9">
        <v>213096.81</v>
      </c>
      <c r="AG70" s="14">
        <v>0.0026542716088150922</v>
      </c>
      <c r="AH70" s="10">
        <v>8</v>
      </c>
      <c r="AI70" s="14">
        <v>0.0005630630630630631</v>
      </c>
      <c r="AJ70" s="56"/>
      <c r="AK70" s="55"/>
      <c r="AL70" s="56"/>
      <c r="AM70" s="9">
        <v>161443.26</v>
      </c>
      <c r="AN70" s="14">
        <v>0.0019777277667218057</v>
      </c>
      <c r="AO70" s="10">
        <v>6</v>
      </c>
      <c r="AP70" s="14">
        <v>0.0004238186056367875</v>
      </c>
      <c r="AQ70" s="56"/>
      <c r="AR70" s="55"/>
      <c r="AS70" s="56"/>
      <c r="AT70" s="9">
        <v>135485.12</v>
      </c>
      <c r="AU70" s="14">
        <v>0.001685874328478531</v>
      </c>
      <c r="AV70" s="10">
        <v>5</v>
      </c>
      <c r="AW70" s="14">
        <v>0.00036273940800928613</v>
      </c>
      <c r="AX70" s="56"/>
      <c r="AY70" s="55"/>
      <c r="AZ70" s="56"/>
      <c r="BA70" s="9">
        <v>135194.26</v>
      </c>
      <c r="BB70" s="14">
        <v>0.0016207324272647218</v>
      </c>
      <c r="BC70" s="10">
        <v>5</v>
      </c>
      <c r="BD70" s="14">
        <v>0.0003571173487608028</v>
      </c>
      <c r="BE70" s="56"/>
      <c r="BF70" s="55"/>
      <c r="BG70" s="56"/>
      <c r="BH70" s="9">
        <v>134794.46</v>
      </c>
      <c r="BI70" s="14">
        <v>0.0017675131716174356</v>
      </c>
      <c r="BJ70" s="10">
        <v>5</v>
      </c>
      <c r="BK70" s="14">
        <v>0.0004075311761349743</v>
      </c>
      <c r="BL70" s="56"/>
      <c r="BM70" s="55"/>
      <c r="BN70" s="56"/>
      <c r="BO70" s="9">
        <v>107877.85</v>
      </c>
      <c r="BP70" s="14">
        <v>0.001540949473186412</v>
      </c>
      <c r="BQ70" s="10">
        <v>4</v>
      </c>
      <c r="BR70" s="14">
        <v>0.00035264039495724235</v>
      </c>
      <c r="BS70" s="56"/>
      <c r="BT70" s="55"/>
      <c r="BU70" s="56"/>
      <c r="BV70" s="9">
        <v>107561.28</v>
      </c>
      <c r="BW70" s="14">
        <v>0.0016771376063167535</v>
      </c>
      <c r="BX70" s="10">
        <v>4</v>
      </c>
      <c r="BY70" s="14">
        <v>0.0003806985818977824</v>
      </c>
      <c r="BZ70" s="56"/>
      <c r="CA70" s="55"/>
      <c r="CB70" s="56"/>
      <c r="CC70" s="9">
        <v>107236.67</v>
      </c>
      <c r="CD70" s="14">
        <v>0.0018131698899944086</v>
      </c>
      <c r="CE70" s="10">
        <v>4</v>
      </c>
      <c r="CF70" s="14">
        <v>0.0004067934506254449</v>
      </c>
      <c r="CG70" s="56"/>
      <c r="CH70" s="55"/>
      <c r="CI70" s="56"/>
      <c r="CJ70" s="9">
        <v>107015.7</v>
      </c>
      <c r="CK70" s="14">
        <v>0.0019674778290378857</v>
      </c>
      <c r="CL70" s="10">
        <v>4</v>
      </c>
      <c r="CM70" s="14">
        <v>0.0004386445882223928</v>
      </c>
      <c r="CN70" s="56"/>
      <c r="CO70" s="55"/>
      <c r="CP70" s="56"/>
      <c r="CQ70" s="9">
        <v>81562.51</v>
      </c>
      <c r="CR70" s="14">
        <v>0.0016319589656538355</v>
      </c>
      <c r="CS70" s="10">
        <v>3</v>
      </c>
      <c r="CT70" s="14">
        <v>0.00035859431030360985</v>
      </c>
      <c r="CU70" s="56"/>
      <c r="CV70" s="55"/>
      <c r="CW70" s="56"/>
      <c r="CX70" s="9">
        <v>81210.61</v>
      </c>
      <c r="CY70" s="14">
        <v>0.001752233570199399</v>
      </c>
      <c r="CZ70" s="10">
        <v>3</v>
      </c>
      <c r="DA70" s="14">
        <v>0.00038397542557276333</v>
      </c>
      <c r="DB70" s="56"/>
      <c r="DC70" s="55"/>
      <c r="DD70" s="56"/>
    </row>
    <row r="71" spans="1:108" ht="12.75">
      <c r="A71" s="8" t="s">
        <v>4</v>
      </c>
      <c r="B71" s="8"/>
      <c r="C71" s="8"/>
      <c r="D71" s="9">
        <v>31003.42</v>
      </c>
      <c r="E71" s="14">
        <f t="shared" si="11"/>
        <v>0.0003391717364696135</v>
      </c>
      <c r="F71" s="10">
        <v>1</v>
      </c>
      <c r="G71" s="14">
        <f t="shared" si="12"/>
        <v>5.2664840952180324E-05</v>
      </c>
      <c r="H71" s="8"/>
      <c r="I71" s="8"/>
      <c r="J71" s="9">
        <v>30709.03</v>
      </c>
      <c r="K71" s="14">
        <f t="shared" si="13"/>
        <v>0.00036903536625412705</v>
      </c>
      <c r="L71" s="10">
        <v>1</v>
      </c>
      <c r="M71" s="14">
        <f t="shared" si="14"/>
        <v>6.58544616397761E-05</v>
      </c>
      <c r="N71" s="56"/>
      <c r="O71" s="55"/>
      <c r="P71" s="56"/>
      <c r="Q71" s="8"/>
      <c r="R71" s="9">
        <v>30407.15</v>
      </c>
      <c r="S71" s="14">
        <v>0.0003871324693858942</v>
      </c>
      <c r="T71" s="10">
        <v>1</v>
      </c>
      <c r="U71" s="14">
        <v>6.960395350455906E-05</v>
      </c>
      <c r="V71" s="56"/>
      <c r="W71" s="55"/>
      <c r="X71" s="56"/>
      <c r="Y71" s="9">
        <v>30097.61</v>
      </c>
      <c r="Z71" s="14">
        <v>0.00037201795650587314</v>
      </c>
      <c r="AA71" s="10">
        <v>1</v>
      </c>
      <c r="AB71" s="14">
        <v>6.882312456985548E-05</v>
      </c>
      <c r="AC71" s="56"/>
      <c r="AD71" s="55"/>
      <c r="AE71" s="56"/>
      <c r="AF71" s="9">
        <v>0</v>
      </c>
      <c r="AG71" s="14">
        <v>0</v>
      </c>
      <c r="AH71" s="10">
        <v>0</v>
      </c>
      <c r="AI71" s="14">
        <v>0</v>
      </c>
      <c r="AJ71" s="56"/>
      <c r="AK71" s="55"/>
      <c r="AL71" s="56"/>
      <c r="AM71" s="9">
        <v>0</v>
      </c>
      <c r="AN71" s="14">
        <v>0</v>
      </c>
      <c r="AO71" s="10">
        <v>0</v>
      </c>
      <c r="AP71" s="14">
        <v>0</v>
      </c>
      <c r="AQ71" s="56"/>
      <c r="AR71" s="55"/>
      <c r="AS71" s="56"/>
      <c r="AT71" s="9">
        <v>0</v>
      </c>
      <c r="AU71" s="14">
        <v>0</v>
      </c>
      <c r="AV71" s="10">
        <v>0</v>
      </c>
      <c r="AW71" s="14">
        <v>0</v>
      </c>
      <c r="AX71" s="56"/>
      <c r="AY71" s="55"/>
      <c r="AZ71" s="56"/>
      <c r="BA71" s="9">
        <v>0</v>
      </c>
      <c r="BB71" s="14">
        <v>0</v>
      </c>
      <c r="BC71" s="10">
        <v>0</v>
      </c>
      <c r="BD71" s="14">
        <v>0</v>
      </c>
      <c r="BE71" s="56"/>
      <c r="BF71" s="55"/>
      <c r="BG71" s="56"/>
      <c r="BH71" s="9">
        <v>0</v>
      </c>
      <c r="BI71" s="14">
        <v>0</v>
      </c>
      <c r="BJ71" s="10">
        <v>0</v>
      </c>
      <c r="BK71" s="14">
        <v>0</v>
      </c>
      <c r="BL71" s="56"/>
      <c r="BM71" s="55"/>
      <c r="BN71" s="56"/>
      <c r="BO71" s="9">
        <v>0</v>
      </c>
      <c r="BP71" s="14">
        <v>0</v>
      </c>
      <c r="BQ71" s="10">
        <v>0</v>
      </c>
      <c r="BR71" s="14">
        <v>0</v>
      </c>
      <c r="BS71" s="56"/>
      <c r="BT71" s="55"/>
      <c r="BU71" s="56"/>
      <c r="BV71" s="9">
        <v>0</v>
      </c>
      <c r="BW71" s="14">
        <v>0</v>
      </c>
      <c r="BX71" s="10">
        <v>0</v>
      </c>
      <c r="BY71" s="14">
        <v>0</v>
      </c>
      <c r="BZ71" s="56"/>
      <c r="CA71" s="55"/>
      <c r="CB71" s="56"/>
      <c r="CC71" s="9">
        <v>0</v>
      </c>
      <c r="CD71" s="14">
        <v>0</v>
      </c>
      <c r="CE71" s="10">
        <v>0</v>
      </c>
      <c r="CF71" s="14">
        <v>0</v>
      </c>
      <c r="CG71" s="56"/>
      <c r="CH71" s="55"/>
      <c r="CI71" s="56"/>
      <c r="CJ71" s="9">
        <v>0</v>
      </c>
      <c r="CK71" s="14">
        <v>0</v>
      </c>
      <c r="CL71" s="10">
        <v>0</v>
      </c>
      <c r="CM71" s="14">
        <v>0</v>
      </c>
      <c r="CN71" s="56"/>
      <c r="CO71" s="55"/>
      <c r="CP71" s="56"/>
      <c r="CQ71" s="9">
        <v>0</v>
      </c>
      <c r="CR71" s="14">
        <v>0</v>
      </c>
      <c r="CS71" s="10">
        <v>0</v>
      </c>
      <c r="CT71" s="14">
        <v>0</v>
      </c>
      <c r="CU71" s="56"/>
      <c r="CV71" s="55"/>
      <c r="CW71" s="56"/>
      <c r="CX71" s="9">
        <v>0</v>
      </c>
      <c r="CY71" s="14">
        <v>0</v>
      </c>
      <c r="CZ71" s="10">
        <v>0</v>
      </c>
      <c r="DA71" s="14">
        <v>0</v>
      </c>
      <c r="DB71" s="56"/>
      <c r="DC71" s="55"/>
      <c r="DD71" s="56"/>
    </row>
    <row r="72" spans="1:108" ht="12.75">
      <c r="A72" s="8" t="s">
        <v>5</v>
      </c>
      <c r="B72" s="8"/>
      <c r="C72" s="8"/>
      <c r="D72" s="9">
        <v>0</v>
      </c>
      <c r="E72" s="14"/>
      <c r="F72" s="10">
        <v>0</v>
      </c>
      <c r="G72" s="14"/>
      <c r="H72" s="8"/>
      <c r="I72" s="8"/>
      <c r="J72" s="9">
        <v>0</v>
      </c>
      <c r="K72" s="14"/>
      <c r="L72" s="10">
        <v>0</v>
      </c>
      <c r="M72" s="14"/>
      <c r="N72" s="56"/>
      <c r="O72" s="55"/>
      <c r="P72" s="56"/>
      <c r="Q72" s="8"/>
      <c r="R72" s="9">
        <v>0</v>
      </c>
      <c r="S72" s="14">
        <v>0</v>
      </c>
      <c r="T72" s="10">
        <v>0</v>
      </c>
      <c r="U72" s="14">
        <v>0</v>
      </c>
      <c r="V72" s="56"/>
      <c r="W72" s="55"/>
      <c r="X72" s="56"/>
      <c r="Y72" s="9">
        <v>0</v>
      </c>
      <c r="Z72" s="14">
        <v>0</v>
      </c>
      <c r="AA72" s="10">
        <v>0</v>
      </c>
      <c r="AB72" s="14">
        <v>0</v>
      </c>
      <c r="AC72" s="56"/>
      <c r="AD72" s="55"/>
      <c r="AE72" s="56"/>
      <c r="AF72" s="9">
        <v>0</v>
      </c>
      <c r="AG72" s="14">
        <v>0</v>
      </c>
      <c r="AH72" s="10">
        <v>0</v>
      </c>
      <c r="AI72" s="14">
        <v>0</v>
      </c>
      <c r="AJ72" s="56"/>
      <c r="AK72" s="55"/>
      <c r="AL72" s="56"/>
      <c r="AM72" s="9">
        <v>0</v>
      </c>
      <c r="AN72" s="14">
        <v>0</v>
      </c>
      <c r="AO72" s="10">
        <v>0</v>
      </c>
      <c r="AP72" s="14">
        <v>0</v>
      </c>
      <c r="AQ72" s="56"/>
      <c r="AR72" s="55"/>
      <c r="AS72" s="56"/>
      <c r="AT72" s="9">
        <v>0</v>
      </c>
      <c r="AU72" s="14">
        <v>0</v>
      </c>
      <c r="AV72" s="10">
        <v>0</v>
      </c>
      <c r="AW72" s="14">
        <v>0</v>
      </c>
      <c r="AX72" s="56"/>
      <c r="AY72" s="55"/>
      <c r="AZ72" s="56"/>
      <c r="BA72" s="9">
        <v>0</v>
      </c>
      <c r="BB72" s="14">
        <v>0</v>
      </c>
      <c r="BC72" s="10">
        <v>0</v>
      </c>
      <c r="BD72" s="14">
        <v>0</v>
      </c>
      <c r="BE72" s="56"/>
      <c r="BF72" s="55"/>
      <c r="BG72" s="56"/>
      <c r="BH72" s="9">
        <v>0</v>
      </c>
      <c r="BI72" s="14">
        <v>0</v>
      </c>
      <c r="BJ72" s="10">
        <v>0</v>
      </c>
      <c r="BK72" s="14">
        <v>0</v>
      </c>
      <c r="BL72" s="56"/>
      <c r="BM72" s="55"/>
      <c r="BN72" s="56"/>
      <c r="BO72" s="9">
        <v>0</v>
      </c>
      <c r="BP72" s="14">
        <v>0</v>
      </c>
      <c r="BQ72" s="10">
        <v>0</v>
      </c>
      <c r="BR72" s="14">
        <v>0</v>
      </c>
      <c r="BS72" s="56"/>
      <c r="BT72" s="55"/>
      <c r="BU72" s="56"/>
      <c r="BV72" s="9">
        <v>0</v>
      </c>
      <c r="BW72" s="14">
        <v>0</v>
      </c>
      <c r="BX72" s="10">
        <v>0</v>
      </c>
      <c r="BY72" s="14">
        <v>0</v>
      </c>
      <c r="BZ72" s="56"/>
      <c r="CA72" s="55"/>
      <c r="CB72" s="56"/>
      <c r="CC72" s="9">
        <v>0</v>
      </c>
      <c r="CD72" s="14">
        <v>0</v>
      </c>
      <c r="CE72" s="10">
        <v>0</v>
      </c>
      <c r="CF72" s="14">
        <v>0</v>
      </c>
      <c r="CG72" s="56"/>
      <c r="CH72" s="55"/>
      <c r="CI72" s="56"/>
      <c r="CJ72" s="9">
        <v>0</v>
      </c>
      <c r="CK72" s="14">
        <v>0</v>
      </c>
      <c r="CL72" s="10">
        <v>0</v>
      </c>
      <c r="CM72" s="14">
        <v>0</v>
      </c>
      <c r="CN72" s="56"/>
      <c r="CO72" s="55"/>
      <c r="CP72" s="56"/>
      <c r="CQ72" s="9">
        <v>0</v>
      </c>
      <c r="CR72" s="14">
        <v>0</v>
      </c>
      <c r="CS72" s="10">
        <v>0</v>
      </c>
      <c r="CT72" s="14">
        <v>0</v>
      </c>
      <c r="CU72" s="56"/>
      <c r="CV72" s="55"/>
      <c r="CW72" s="56"/>
      <c r="CX72" s="9">
        <v>0</v>
      </c>
      <c r="CY72" s="14">
        <v>0</v>
      </c>
      <c r="CZ72" s="10">
        <v>0</v>
      </c>
      <c r="DA72" s="14">
        <v>0</v>
      </c>
      <c r="DB72" s="56"/>
      <c r="DC72" s="55"/>
      <c r="DD72" s="56"/>
    </row>
    <row r="73" spans="1:108" ht="12.75">
      <c r="A73" s="8"/>
      <c r="B73" s="8"/>
      <c r="C73" s="8"/>
      <c r="D73" s="9"/>
      <c r="E73" s="14"/>
      <c r="F73" s="10"/>
      <c r="G73" s="14"/>
      <c r="H73" s="8"/>
      <c r="I73" s="8"/>
      <c r="J73" s="9"/>
      <c r="K73" s="14"/>
      <c r="L73" s="10"/>
      <c r="M73" s="14"/>
      <c r="N73" s="56"/>
      <c r="O73" s="55"/>
      <c r="P73" s="56"/>
      <c r="Q73" s="8"/>
      <c r="R73" s="9"/>
      <c r="S73" s="14"/>
      <c r="T73" s="10"/>
      <c r="U73" s="14"/>
      <c r="V73" s="56"/>
      <c r="W73" s="55"/>
      <c r="X73" s="56"/>
      <c r="Y73" s="9"/>
      <c r="Z73" s="14"/>
      <c r="AA73" s="10"/>
      <c r="AB73" s="14"/>
      <c r="AC73" s="56"/>
      <c r="AD73" s="55"/>
      <c r="AE73" s="56"/>
      <c r="AF73" s="9"/>
      <c r="AG73" s="14"/>
      <c r="AH73" s="10"/>
      <c r="AI73" s="14"/>
      <c r="AJ73" s="56"/>
      <c r="AK73" s="55"/>
      <c r="AL73" s="56"/>
      <c r="AM73" s="9"/>
      <c r="AN73" s="14"/>
      <c r="AO73" s="10"/>
      <c r="AP73" s="14"/>
      <c r="AQ73" s="56"/>
      <c r="AR73" s="55"/>
      <c r="AS73" s="56"/>
      <c r="AT73" s="9"/>
      <c r="AU73" s="14"/>
      <c r="AV73" s="10"/>
      <c r="AW73" s="14"/>
      <c r="AX73" s="56"/>
      <c r="AY73" s="55"/>
      <c r="AZ73" s="56"/>
      <c r="BA73" s="9"/>
      <c r="BB73" s="14"/>
      <c r="BC73" s="10"/>
      <c r="BD73" s="14"/>
      <c r="BE73" s="56"/>
      <c r="BF73" s="55"/>
      <c r="BG73" s="56"/>
      <c r="BH73" s="9"/>
      <c r="BI73" s="14"/>
      <c r="BJ73" s="10"/>
      <c r="BK73" s="14"/>
      <c r="BL73" s="56"/>
      <c r="BM73" s="55"/>
      <c r="BN73" s="56"/>
      <c r="BO73" s="9"/>
      <c r="BP73" s="14"/>
      <c r="BQ73" s="10"/>
      <c r="BR73" s="14"/>
      <c r="BS73" s="56"/>
      <c r="BT73" s="55"/>
      <c r="BU73" s="56"/>
      <c r="BV73" s="9"/>
      <c r="BW73" s="14"/>
      <c r="BX73" s="10"/>
      <c r="BY73" s="14"/>
      <c r="BZ73" s="56"/>
      <c r="CA73" s="55"/>
      <c r="CB73" s="56"/>
      <c r="CC73" s="9"/>
      <c r="CD73" s="14"/>
      <c r="CE73" s="10"/>
      <c r="CF73" s="14"/>
      <c r="CG73" s="56"/>
      <c r="CH73" s="55"/>
      <c r="CI73" s="56"/>
      <c r="CJ73" s="9"/>
      <c r="CK73" s="14"/>
      <c r="CL73" s="10"/>
      <c r="CM73" s="14"/>
      <c r="CN73" s="56"/>
      <c r="CO73" s="55"/>
      <c r="CP73" s="56"/>
      <c r="CQ73" s="9"/>
      <c r="CR73" s="14"/>
      <c r="CS73" s="10"/>
      <c r="CT73" s="14"/>
      <c r="CU73" s="56"/>
      <c r="CV73" s="55"/>
      <c r="CW73" s="56"/>
      <c r="CX73" s="9"/>
      <c r="CY73" s="14"/>
      <c r="CZ73" s="10"/>
      <c r="DA73" s="14"/>
      <c r="DB73" s="56"/>
      <c r="DC73" s="55"/>
      <c r="DD73" s="56"/>
    </row>
    <row r="74" spans="1:108" ht="13.5" thickBot="1">
      <c r="A74" s="8"/>
      <c r="B74" s="12"/>
      <c r="C74" s="12"/>
      <c r="D74" s="21">
        <f>SUM(D59:D72)</f>
        <v>91409208.57000007</v>
      </c>
      <c r="E74" s="23"/>
      <c r="F74" s="22">
        <f>SUM(F59:F72)</f>
        <v>18988</v>
      </c>
      <c r="G74" s="12"/>
      <c r="H74" s="8"/>
      <c r="I74" s="8"/>
      <c r="J74" s="21">
        <f>SUM(J59:J72)</f>
        <v>83214327.97</v>
      </c>
      <c r="K74" s="23"/>
      <c r="L74" s="22">
        <f>SUM(L59:L72)</f>
        <v>15185</v>
      </c>
      <c r="M74" s="12"/>
      <c r="N74" s="57"/>
      <c r="O74" s="31"/>
      <c r="P74" s="53"/>
      <c r="Q74" s="8"/>
      <c r="R74" s="21">
        <v>78544561.36999997</v>
      </c>
      <c r="S74" s="23"/>
      <c r="T74" s="22">
        <v>14367</v>
      </c>
      <c r="U74" s="12"/>
      <c r="V74" s="57"/>
      <c r="W74" s="31"/>
      <c r="X74" s="53"/>
      <c r="Y74" s="21">
        <f>SUM(Y59:Y73)</f>
        <v>80903648.53000003</v>
      </c>
      <c r="Z74" s="23"/>
      <c r="AA74" s="22">
        <f>SUM(AA59:AA73)</f>
        <v>14530</v>
      </c>
      <c r="AB74" s="12"/>
      <c r="AC74" s="57"/>
      <c r="AD74" s="31"/>
      <c r="AE74" s="53"/>
      <c r="AF74" s="21">
        <f>SUM(AF59:AF73)</f>
        <v>80284477.77999994</v>
      </c>
      <c r="AG74" s="23"/>
      <c r="AH74" s="22">
        <f>SUM(AH59:AH73)</f>
        <v>14208</v>
      </c>
      <c r="AI74" s="12"/>
      <c r="AJ74" s="57"/>
      <c r="AK74" s="31"/>
      <c r="AL74" s="53"/>
      <c r="AM74" s="21">
        <f>SUM(AM59:AM73)</f>
        <v>81630678.76000002</v>
      </c>
      <c r="AN74" s="23"/>
      <c r="AO74" s="22">
        <f>SUM(AO59:AO73)</f>
        <v>14157</v>
      </c>
      <c r="AP74" s="12"/>
      <c r="AQ74" s="57"/>
      <c r="AR74" s="31"/>
      <c r="AS74" s="53"/>
      <c r="AT74" s="21">
        <f>SUM(AT59:AT73)</f>
        <v>80364898.91999999</v>
      </c>
      <c r="AU74" s="23"/>
      <c r="AV74" s="22">
        <f>SUM(AV59:AV73)</f>
        <v>13784</v>
      </c>
      <c r="AW74" s="12"/>
      <c r="AX74" s="57"/>
      <c r="AY74" s="31"/>
      <c r="AZ74" s="53"/>
      <c r="BA74" s="21">
        <f>SUM(BA59:BA73)</f>
        <v>83415533.44999994</v>
      </c>
      <c r="BB74" s="23"/>
      <c r="BC74" s="22">
        <f>SUM(BC59:BC73)</f>
        <v>14001</v>
      </c>
      <c r="BD74" s="12"/>
      <c r="BE74" s="57"/>
      <c r="BF74" s="31"/>
      <c r="BG74" s="53"/>
      <c r="BH74" s="21">
        <f>SUM(BH59:BH73)</f>
        <v>76262209.62000005</v>
      </c>
      <c r="BI74" s="23"/>
      <c r="BJ74" s="22">
        <f>SUM(BJ59:BJ73)</f>
        <v>12269</v>
      </c>
      <c r="BK74" s="12"/>
      <c r="BL74" s="57"/>
      <c r="BM74" s="31"/>
      <c r="BN74" s="53"/>
      <c r="BO74" s="21">
        <f>SUM(BO59:BO73)</f>
        <v>70007389.52000004</v>
      </c>
      <c r="BP74" s="23"/>
      <c r="BQ74" s="22">
        <f>SUM(BQ59:BQ73)</f>
        <v>11343</v>
      </c>
      <c r="BR74" s="12"/>
      <c r="BS74" s="57"/>
      <c r="BT74" s="31"/>
      <c r="BU74" s="53"/>
      <c r="BV74" s="21">
        <f>SUM(BV59:BV73)</f>
        <v>64133843.04000001</v>
      </c>
      <c r="BW74" s="23"/>
      <c r="BX74" s="22">
        <f>SUM(BX59:BX73)</f>
        <v>10507</v>
      </c>
      <c r="BY74" s="12"/>
      <c r="BZ74" s="57"/>
      <c r="CA74" s="31"/>
      <c r="CB74" s="53"/>
      <c r="CC74" s="21">
        <f>SUM(CC59:CC73)</f>
        <v>59143200.31000001</v>
      </c>
      <c r="CD74" s="23"/>
      <c r="CE74" s="22">
        <f>SUM(CE59:CE73)</f>
        <v>9833</v>
      </c>
      <c r="CF74" s="12"/>
      <c r="CG74" s="57"/>
      <c r="CH74" s="31"/>
      <c r="CI74" s="53"/>
      <c r="CJ74" s="21">
        <f>SUM(CJ59:CJ73)</f>
        <v>54392328.300000034</v>
      </c>
      <c r="CK74" s="23"/>
      <c r="CL74" s="22">
        <f>SUM(CL59:CL73)</f>
        <v>9119</v>
      </c>
      <c r="CM74" s="12"/>
      <c r="CN74" s="57"/>
      <c r="CO74" s="31"/>
      <c r="CP74" s="53"/>
      <c r="CQ74" s="21">
        <f>SUM(CQ59:CQ73)</f>
        <v>49978284.82</v>
      </c>
      <c r="CR74" s="23"/>
      <c r="CS74" s="22">
        <f>SUM(CS59:CS73)</f>
        <v>8366</v>
      </c>
      <c r="CT74" s="12"/>
      <c r="CU74" s="57"/>
      <c r="CV74" s="31"/>
      <c r="CW74" s="53"/>
      <c r="CX74" s="21">
        <f>SUM(CX59:CX73)</f>
        <v>46346909.099999994</v>
      </c>
      <c r="CY74" s="23"/>
      <c r="CZ74" s="22">
        <f>SUM(CZ59:CZ73)</f>
        <v>7813</v>
      </c>
      <c r="DA74" s="12"/>
      <c r="DB74" s="57"/>
      <c r="DC74" s="31"/>
      <c r="DD74" s="53"/>
    </row>
    <row r="75" spans="1:108" ht="13.5" thickTop="1">
      <c r="A75" s="12"/>
      <c r="B75" s="8"/>
      <c r="C75" s="8"/>
      <c r="D75" s="9"/>
      <c r="E75" s="8"/>
      <c r="F75" s="10"/>
      <c r="G75" s="8"/>
      <c r="H75" s="8"/>
      <c r="I75" s="8"/>
      <c r="J75" s="9"/>
      <c r="K75" s="8"/>
      <c r="L75" s="10"/>
      <c r="M75" s="8"/>
      <c r="N75" s="54"/>
      <c r="O75" s="55"/>
      <c r="P75" s="54"/>
      <c r="Q75" s="8"/>
      <c r="R75" s="9"/>
      <c r="S75" s="8"/>
      <c r="T75" s="10"/>
      <c r="U75" s="8"/>
      <c r="V75" s="54"/>
      <c r="W75" s="55"/>
      <c r="X75" s="54"/>
      <c r="Y75" s="9"/>
      <c r="Z75" s="8"/>
      <c r="AA75" s="10"/>
      <c r="AB75" s="8"/>
      <c r="AC75" s="54"/>
      <c r="AD75" s="55"/>
      <c r="AE75" s="54"/>
      <c r="AF75" s="9"/>
      <c r="AG75" s="8"/>
      <c r="AH75" s="10"/>
      <c r="AI75" s="8"/>
      <c r="AJ75" s="54"/>
      <c r="AK75" s="55"/>
      <c r="AL75" s="54"/>
      <c r="AM75" s="9"/>
      <c r="AN75" s="8"/>
      <c r="AO75" s="10"/>
      <c r="AP75" s="8"/>
      <c r="AQ75" s="54"/>
      <c r="AR75" s="55"/>
      <c r="AS75" s="54"/>
      <c r="AT75" s="9"/>
      <c r="AU75" s="8"/>
      <c r="AV75" s="10"/>
      <c r="AW75" s="8"/>
      <c r="AX75" s="54"/>
      <c r="AY75" s="55"/>
      <c r="AZ75" s="54"/>
      <c r="BA75" s="9"/>
      <c r="BB75" s="8"/>
      <c r="BC75" s="10"/>
      <c r="BD75" s="8"/>
      <c r="BE75" s="54"/>
      <c r="BF75" s="55"/>
      <c r="BG75" s="54"/>
      <c r="BH75" s="9"/>
      <c r="BI75" s="8"/>
      <c r="BJ75" s="10"/>
      <c r="BK75" s="8"/>
      <c r="BL75" s="54"/>
      <c r="BM75" s="55"/>
      <c r="BN75" s="54"/>
      <c r="BO75" s="9"/>
      <c r="BP75" s="8"/>
      <c r="BQ75" s="10"/>
      <c r="BR75" s="8"/>
      <c r="BS75" s="54"/>
      <c r="BT75" s="55"/>
      <c r="BU75" s="54"/>
      <c r="BV75" s="9"/>
      <c r="BW75" s="8"/>
      <c r="BX75" s="10"/>
      <c r="BY75" s="8"/>
      <c r="BZ75" s="54"/>
      <c r="CA75" s="55"/>
      <c r="CB75" s="54"/>
      <c r="CC75" s="9"/>
      <c r="CD75" s="8"/>
      <c r="CE75" s="10"/>
      <c r="CF75" s="8"/>
      <c r="CG75" s="54"/>
      <c r="CH75" s="55"/>
      <c r="CI75" s="54"/>
      <c r="CJ75" s="9"/>
      <c r="CK75" s="8"/>
      <c r="CL75" s="10"/>
      <c r="CM75" s="8"/>
      <c r="CN75" s="54"/>
      <c r="CO75" s="55"/>
      <c r="CP75" s="54"/>
      <c r="CQ75" s="9"/>
      <c r="CR75" s="8"/>
      <c r="CS75" s="10"/>
      <c r="CT75" s="8"/>
      <c r="CU75" s="54"/>
      <c r="CV75" s="55"/>
      <c r="CW75" s="54"/>
      <c r="CX75" s="9"/>
      <c r="CY75" s="8"/>
      <c r="CZ75" s="10"/>
      <c r="DA75" s="8"/>
      <c r="DB75" s="54"/>
      <c r="DC75" s="55"/>
      <c r="DD75" s="54"/>
    </row>
    <row r="76" spans="1:108" ht="12.75">
      <c r="A76" s="8"/>
      <c r="B76" s="8"/>
      <c r="C76" s="8"/>
      <c r="D76" s="9"/>
      <c r="E76" s="8"/>
      <c r="F76" s="10"/>
      <c r="G76" s="8"/>
      <c r="H76" s="8"/>
      <c r="I76" s="8"/>
      <c r="J76" s="8"/>
      <c r="K76" s="8"/>
      <c r="L76" s="8"/>
      <c r="M76" s="9"/>
      <c r="N76" s="8"/>
      <c r="O76" s="10"/>
      <c r="P76" s="8"/>
      <c r="Q76" s="8"/>
      <c r="R76" s="8"/>
      <c r="S76" s="8"/>
      <c r="T76" s="8"/>
      <c r="U76" s="9"/>
      <c r="V76" s="8"/>
      <c r="W76" s="10"/>
      <c r="X76" s="8"/>
      <c r="Y76" s="8"/>
      <c r="Z76" s="8"/>
      <c r="AA76" s="8"/>
      <c r="AB76" s="9"/>
      <c r="AC76" s="8"/>
      <c r="AD76" s="10"/>
      <c r="AE76" s="8"/>
      <c r="AF76" s="8"/>
      <c r="AG76" s="8"/>
      <c r="AH76" s="8"/>
      <c r="AI76" s="9"/>
      <c r="AJ76" s="8"/>
      <c r="AK76" s="10"/>
      <c r="AL76" s="8"/>
      <c r="AM76" s="8"/>
      <c r="AN76" s="8"/>
      <c r="AO76" s="8"/>
      <c r="AP76" s="9"/>
      <c r="AQ76" s="8"/>
      <c r="AR76" s="10"/>
      <c r="AS76" s="8"/>
      <c r="AT76" s="8"/>
      <c r="AU76" s="8"/>
      <c r="AV76" s="8"/>
      <c r="AW76" s="9"/>
      <c r="AX76" s="8"/>
      <c r="AY76" s="10"/>
      <c r="AZ76" s="8"/>
      <c r="BA76" s="8"/>
      <c r="BB76" s="8"/>
      <c r="BC76" s="8"/>
      <c r="BD76" s="9"/>
      <c r="BE76" s="8"/>
      <c r="BF76" s="10"/>
      <c r="BG76" s="8"/>
      <c r="BH76" s="8"/>
      <c r="BI76" s="8"/>
      <c r="BJ76" s="8"/>
      <c r="BK76" s="9"/>
      <c r="BL76" s="8"/>
      <c r="BM76" s="10"/>
      <c r="BN76" s="8"/>
      <c r="BO76" s="8"/>
      <c r="BP76" s="8"/>
      <c r="BQ76" s="8"/>
      <c r="BR76" s="9"/>
      <c r="BS76" s="8"/>
      <c r="BT76" s="10"/>
      <c r="BU76" s="8"/>
      <c r="BV76" s="8"/>
      <c r="BW76" s="8"/>
      <c r="BX76" s="8"/>
      <c r="BY76" s="9"/>
      <c r="BZ76" s="8"/>
      <c r="CA76" s="10"/>
      <c r="CB76" s="8"/>
      <c r="CC76" s="8"/>
      <c r="CD76" s="8"/>
      <c r="CE76" s="8"/>
      <c r="CF76" s="9"/>
      <c r="CG76" s="8"/>
      <c r="CH76" s="10"/>
      <c r="CI76" s="8"/>
      <c r="CJ76" s="8"/>
      <c r="CK76" s="8"/>
      <c r="CL76" s="8"/>
      <c r="CM76" s="9"/>
      <c r="CN76" s="8"/>
      <c r="CO76" s="10"/>
      <c r="CP76" s="8"/>
      <c r="CQ76" s="8"/>
      <c r="CR76" s="8"/>
      <c r="CS76" s="8"/>
      <c r="CT76" s="9"/>
      <c r="CU76" s="8"/>
      <c r="CV76" s="10"/>
      <c r="CW76" s="8"/>
      <c r="CX76" s="8"/>
      <c r="CY76" s="8"/>
      <c r="CZ76" s="8"/>
      <c r="DA76" s="9"/>
      <c r="DB76" s="8"/>
      <c r="DC76" s="10"/>
      <c r="DD76" s="8"/>
    </row>
    <row r="77" spans="1:108" ht="12.75">
      <c r="A77" s="19" t="s">
        <v>109</v>
      </c>
      <c r="B77" s="8"/>
      <c r="C77" s="8"/>
      <c r="D77" s="9"/>
      <c r="E77" s="8"/>
      <c r="F77" s="10"/>
      <c r="G77" s="8"/>
      <c r="H77" s="8"/>
      <c r="I77" s="8"/>
      <c r="J77" s="19" t="s">
        <v>109</v>
      </c>
      <c r="K77" s="8"/>
      <c r="L77" s="8"/>
      <c r="M77" s="9"/>
      <c r="N77" s="8"/>
      <c r="O77" s="10"/>
      <c r="P77" s="8"/>
      <c r="Q77" s="8"/>
      <c r="R77" s="19" t="s">
        <v>109</v>
      </c>
      <c r="S77" s="8"/>
      <c r="T77" s="8"/>
      <c r="U77" s="9"/>
      <c r="V77" s="8"/>
      <c r="W77" s="10"/>
      <c r="X77" s="8"/>
      <c r="Y77" s="19" t="s">
        <v>109</v>
      </c>
      <c r="Z77" s="8"/>
      <c r="AA77" s="8"/>
      <c r="AB77" s="9"/>
      <c r="AC77" s="8"/>
      <c r="AD77" s="10"/>
      <c r="AE77" s="8"/>
      <c r="AF77" s="19" t="s">
        <v>109</v>
      </c>
      <c r="AG77" s="8"/>
      <c r="AH77" s="8"/>
      <c r="AI77" s="9"/>
      <c r="AJ77" s="8"/>
      <c r="AK77" s="10"/>
      <c r="AL77" s="8"/>
      <c r="AM77" s="19" t="s">
        <v>109</v>
      </c>
      <c r="AN77" s="8"/>
      <c r="AO77" s="8"/>
      <c r="AP77" s="9"/>
      <c r="AQ77" s="8"/>
      <c r="AR77" s="10"/>
      <c r="AS77" s="8"/>
      <c r="AT77" s="19" t="s">
        <v>109</v>
      </c>
      <c r="AU77" s="8"/>
      <c r="AV77" s="8"/>
      <c r="AW77" s="9"/>
      <c r="AX77" s="8"/>
      <c r="AY77" s="10"/>
      <c r="AZ77" s="8"/>
      <c r="BA77" s="19" t="s">
        <v>109</v>
      </c>
      <c r="BB77" s="8"/>
      <c r="BC77" s="8"/>
      <c r="BD77" s="9"/>
      <c r="BE77" s="8"/>
      <c r="BF77" s="10"/>
      <c r="BG77" s="8"/>
      <c r="BH77" s="19" t="s">
        <v>109</v>
      </c>
      <c r="BI77" s="8"/>
      <c r="BJ77" s="8"/>
      <c r="BK77" s="9"/>
      <c r="BL77" s="8"/>
      <c r="BM77" s="10"/>
      <c r="BN77" s="8"/>
      <c r="BO77" s="19" t="s">
        <v>109</v>
      </c>
      <c r="BP77" s="8"/>
      <c r="BQ77" s="8"/>
      <c r="BR77" s="9"/>
      <c r="BS77" s="8"/>
      <c r="BT77" s="10"/>
      <c r="BU77" s="8"/>
      <c r="BV77" s="19" t="s">
        <v>109</v>
      </c>
      <c r="BW77" s="8"/>
      <c r="BX77" s="8"/>
      <c r="BY77" s="9"/>
      <c r="BZ77" s="8"/>
      <c r="CA77" s="10"/>
      <c r="CB77" s="8"/>
      <c r="CC77" s="19" t="s">
        <v>109</v>
      </c>
      <c r="CD77" s="8"/>
      <c r="CE77" s="8"/>
      <c r="CF77" s="9"/>
      <c r="CG77" s="8"/>
      <c r="CH77" s="10"/>
      <c r="CI77" s="8"/>
      <c r="CJ77" s="19" t="s">
        <v>109</v>
      </c>
      <c r="CK77" s="8"/>
      <c r="CL77" s="8"/>
      <c r="CM77" s="9"/>
      <c r="CN77" s="8"/>
      <c r="CO77" s="10"/>
      <c r="CP77" s="8"/>
      <c r="CQ77" s="19" t="s">
        <v>109</v>
      </c>
      <c r="CR77" s="8"/>
      <c r="CS77" s="8"/>
      <c r="CT77" s="9"/>
      <c r="CU77" s="8"/>
      <c r="CV77" s="10"/>
      <c r="CW77" s="8"/>
      <c r="CX77" s="19" t="s">
        <v>109</v>
      </c>
      <c r="CY77" s="8"/>
      <c r="CZ77" s="8"/>
      <c r="DA77" s="9"/>
      <c r="DB77" s="8"/>
      <c r="DC77" s="10"/>
      <c r="DD77" s="8"/>
    </row>
    <row r="78" spans="1:108" ht="12.75">
      <c r="A78" s="19"/>
      <c r="B78" s="8"/>
      <c r="C78" s="8"/>
      <c r="D78" s="9"/>
      <c r="E78" s="8"/>
      <c r="F78" s="10"/>
      <c r="G78" s="8"/>
      <c r="H78" s="8"/>
      <c r="I78" s="8"/>
      <c r="J78" s="19"/>
      <c r="K78" s="8"/>
      <c r="L78" s="8"/>
      <c r="M78" s="9"/>
      <c r="N78" s="8"/>
      <c r="O78" s="10"/>
      <c r="P78" s="8"/>
      <c r="Q78" s="8"/>
      <c r="R78" s="19"/>
      <c r="S78" s="8"/>
      <c r="T78" s="8"/>
      <c r="U78" s="9"/>
      <c r="V78" s="8"/>
      <c r="W78" s="10"/>
      <c r="X78" s="8"/>
      <c r="Y78" s="19"/>
      <c r="Z78" s="8"/>
      <c r="AA78" s="8"/>
      <c r="AB78" s="9"/>
      <c r="AC78" s="8"/>
      <c r="AD78" s="10"/>
      <c r="AE78" s="8"/>
      <c r="AF78" s="19"/>
      <c r="AG78" s="8"/>
      <c r="AH78" s="8"/>
      <c r="AI78" s="9"/>
      <c r="AJ78" s="8"/>
      <c r="AK78" s="10"/>
      <c r="AL78" s="8"/>
      <c r="AM78" s="19"/>
      <c r="AN78" s="8"/>
      <c r="AO78" s="8"/>
      <c r="AP78" s="9"/>
      <c r="AQ78" s="8"/>
      <c r="AR78" s="10"/>
      <c r="AS78" s="8"/>
      <c r="AT78" s="19"/>
      <c r="AU78" s="8"/>
      <c r="AV78" s="8"/>
      <c r="AW78" s="9"/>
      <c r="AX78" s="8"/>
      <c r="AY78" s="10"/>
      <c r="AZ78" s="8"/>
      <c r="BA78" s="19"/>
      <c r="BB78" s="8"/>
      <c r="BC78" s="8"/>
      <c r="BD78" s="9"/>
      <c r="BE78" s="8"/>
      <c r="BF78" s="10"/>
      <c r="BG78" s="8"/>
      <c r="BH78" s="19"/>
      <c r="BI78" s="8"/>
      <c r="BJ78" s="8"/>
      <c r="BK78" s="9"/>
      <c r="BL78" s="8"/>
      <c r="BM78" s="10"/>
      <c r="BN78" s="8"/>
      <c r="BO78" s="19"/>
      <c r="BP78" s="8"/>
      <c r="BQ78" s="8"/>
      <c r="BR78" s="9"/>
      <c r="BS78" s="8"/>
      <c r="BT78" s="10"/>
      <c r="BU78" s="8"/>
      <c r="BV78" s="19"/>
      <c r="BW78" s="8"/>
      <c r="BX78" s="8"/>
      <c r="BY78" s="9"/>
      <c r="BZ78" s="8"/>
      <c r="CA78" s="10"/>
      <c r="CB78" s="8"/>
      <c r="CC78" s="19"/>
      <c r="CD78" s="8"/>
      <c r="CE78" s="8"/>
      <c r="CF78" s="9"/>
      <c r="CG78" s="8"/>
      <c r="CH78" s="10"/>
      <c r="CI78" s="8"/>
      <c r="CJ78" s="19"/>
      <c r="CK78" s="8"/>
      <c r="CL78" s="8"/>
      <c r="CM78" s="9"/>
      <c r="CN78" s="8"/>
      <c r="CO78" s="10"/>
      <c r="CP78" s="8"/>
      <c r="CQ78" s="19"/>
      <c r="CR78" s="8"/>
      <c r="CS78" s="8"/>
      <c r="CT78" s="9"/>
      <c r="CU78" s="8"/>
      <c r="CV78" s="10"/>
      <c r="CW78" s="8"/>
      <c r="CX78" s="19"/>
      <c r="CY78" s="8"/>
      <c r="CZ78" s="8"/>
      <c r="DA78" s="9"/>
      <c r="DB78" s="8"/>
      <c r="DC78" s="10"/>
      <c r="DD78" s="8"/>
    </row>
    <row r="79" spans="1:108" s="29" customFormat="1" ht="12.75">
      <c r="A79" s="25"/>
      <c r="B79" s="26"/>
      <c r="C79" s="26"/>
      <c r="D79" s="27" t="s">
        <v>99</v>
      </c>
      <c r="E79" s="26" t="s">
        <v>100</v>
      </c>
      <c r="F79" s="28" t="s">
        <v>101</v>
      </c>
      <c r="G79" s="26" t="s">
        <v>100</v>
      </c>
      <c r="H79" s="25"/>
      <c r="I79" s="25"/>
      <c r="J79" s="27" t="s">
        <v>99</v>
      </c>
      <c r="K79" s="26" t="s">
        <v>100</v>
      </c>
      <c r="L79" s="28" t="s">
        <v>101</v>
      </c>
      <c r="M79" s="26" t="s">
        <v>100</v>
      </c>
      <c r="N79" s="64"/>
      <c r="O79" s="65"/>
      <c r="P79" s="64"/>
      <c r="Q79" s="8"/>
      <c r="R79" s="27" t="s">
        <v>99</v>
      </c>
      <c r="S79" s="26" t="s">
        <v>100</v>
      </c>
      <c r="T79" s="28" t="s">
        <v>101</v>
      </c>
      <c r="U79" s="44" t="s">
        <v>100</v>
      </c>
      <c r="V79" s="64"/>
      <c r="W79" s="65"/>
      <c r="X79" s="64"/>
      <c r="Y79" s="27" t="s">
        <v>99</v>
      </c>
      <c r="Z79" s="26" t="s">
        <v>100</v>
      </c>
      <c r="AA79" s="28" t="s">
        <v>101</v>
      </c>
      <c r="AB79" s="44" t="s">
        <v>100</v>
      </c>
      <c r="AC79" s="64"/>
      <c r="AD79" s="65"/>
      <c r="AE79" s="64"/>
      <c r="AF79" s="27" t="s">
        <v>99</v>
      </c>
      <c r="AG79" s="26" t="s">
        <v>100</v>
      </c>
      <c r="AH79" s="28" t="s">
        <v>101</v>
      </c>
      <c r="AI79" s="44" t="s">
        <v>100</v>
      </c>
      <c r="AJ79" s="64"/>
      <c r="AK79" s="65"/>
      <c r="AL79" s="64"/>
      <c r="AM79" s="27" t="s">
        <v>99</v>
      </c>
      <c r="AN79" s="26" t="s">
        <v>100</v>
      </c>
      <c r="AO79" s="28" t="s">
        <v>101</v>
      </c>
      <c r="AP79" s="44" t="s">
        <v>100</v>
      </c>
      <c r="AQ79" s="64"/>
      <c r="AR79" s="65"/>
      <c r="AS79" s="64"/>
      <c r="AT79" s="27" t="s">
        <v>99</v>
      </c>
      <c r="AU79" s="26" t="s">
        <v>100</v>
      </c>
      <c r="AV79" s="28" t="s">
        <v>101</v>
      </c>
      <c r="AW79" s="44" t="s">
        <v>100</v>
      </c>
      <c r="AX79" s="64"/>
      <c r="AY79" s="65"/>
      <c r="AZ79" s="64"/>
      <c r="BA79" s="89" t="s">
        <v>99</v>
      </c>
      <c r="BB79" s="44" t="s">
        <v>100</v>
      </c>
      <c r="BC79" s="88" t="s">
        <v>101</v>
      </c>
      <c r="BD79" s="44" t="s">
        <v>100</v>
      </c>
      <c r="BE79" s="64"/>
      <c r="BF79" s="65"/>
      <c r="BG79" s="64"/>
      <c r="BH79" s="89" t="s">
        <v>99</v>
      </c>
      <c r="BI79" s="44" t="s">
        <v>100</v>
      </c>
      <c r="BJ79" s="88" t="s">
        <v>101</v>
      </c>
      <c r="BK79" s="44" t="s">
        <v>100</v>
      </c>
      <c r="BL79" s="64"/>
      <c r="BM79" s="65"/>
      <c r="BN79" s="64"/>
      <c r="BO79" s="89" t="s">
        <v>99</v>
      </c>
      <c r="BP79" s="44" t="s">
        <v>100</v>
      </c>
      <c r="BQ79" s="88" t="s">
        <v>101</v>
      </c>
      <c r="BR79" s="44" t="s">
        <v>100</v>
      </c>
      <c r="BS79" s="64"/>
      <c r="BT79" s="65"/>
      <c r="BU79" s="64"/>
      <c r="BV79" s="89" t="s">
        <v>99</v>
      </c>
      <c r="BW79" s="44" t="s">
        <v>100</v>
      </c>
      <c r="BX79" s="88" t="s">
        <v>101</v>
      </c>
      <c r="BY79" s="44" t="s">
        <v>100</v>
      </c>
      <c r="BZ79" s="64"/>
      <c r="CA79" s="65"/>
      <c r="CB79" s="64"/>
      <c r="CC79" s="89" t="s">
        <v>99</v>
      </c>
      <c r="CD79" s="44" t="s">
        <v>100</v>
      </c>
      <c r="CE79" s="88" t="s">
        <v>101</v>
      </c>
      <c r="CF79" s="44" t="s">
        <v>100</v>
      </c>
      <c r="CG79" s="64"/>
      <c r="CH79" s="65"/>
      <c r="CI79" s="64"/>
      <c r="CJ79" s="89" t="s">
        <v>99</v>
      </c>
      <c r="CK79" s="44" t="s">
        <v>100</v>
      </c>
      <c r="CL79" s="88" t="s">
        <v>101</v>
      </c>
      <c r="CM79" s="44" t="s">
        <v>100</v>
      </c>
      <c r="CN79" s="64"/>
      <c r="CO79" s="65"/>
      <c r="CP79" s="64"/>
      <c r="CQ79" s="89" t="s">
        <v>99</v>
      </c>
      <c r="CR79" s="44" t="s">
        <v>100</v>
      </c>
      <c r="CS79" s="88" t="s">
        <v>101</v>
      </c>
      <c r="CT79" s="44" t="s">
        <v>100</v>
      </c>
      <c r="CU79" s="64"/>
      <c r="CV79" s="65"/>
      <c r="CW79" s="64"/>
      <c r="CX79" s="89" t="s">
        <v>99</v>
      </c>
      <c r="CY79" s="44" t="s">
        <v>100</v>
      </c>
      <c r="CZ79" s="88" t="s">
        <v>101</v>
      </c>
      <c r="DA79" s="44" t="s">
        <v>100</v>
      </c>
      <c r="DB79" s="64"/>
      <c r="DC79" s="65"/>
      <c r="DD79" s="64"/>
    </row>
    <row r="80" spans="1:108" ht="12.75">
      <c r="A80" s="12"/>
      <c r="B80" s="8"/>
      <c r="C80" s="8"/>
      <c r="D80" s="9"/>
      <c r="E80" s="8"/>
      <c r="F80" s="10"/>
      <c r="G80" s="8"/>
      <c r="H80" s="8"/>
      <c r="I80" s="8"/>
      <c r="J80" s="9"/>
      <c r="K80" s="8"/>
      <c r="L80" s="10"/>
      <c r="M80" s="8"/>
      <c r="N80" s="54"/>
      <c r="O80" s="55"/>
      <c r="P80" s="54"/>
      <c r="Q80" s="8"/>
      <c r="R80" s="9"/>
      <c r="S80" s="8"/>
      <c r="T80" s="10"/>
      <c r="U80" s="8"/>
      <c r="V80" s="54"/>
      <c r="W80" s="55"/>
      <c r="X80" s="54"/>
      <c r="Y80" s="9"/>
      <c r="Z80" s="8"/>
      <c r="AA80" s="10"/>
      <c r="AB80" s="8"/>
      <c r="AC80" s="54"/>
      <c r="AD80" s="55"/>
      <c r="AE80" s="54"/>
      <c r="AF80" s="9"/>
      <c r="AG80" s="8"/>
      <c r="AH80" s="10"/>
      <c r="AI80" s="8"/>
      <c r="AJ80" s="54"/>
      <c r="AK80" s="55"/>
      <c r="AL80" s="54"/>
      <c r="AM80" s="9"/>
      <c r="AN80" s="8"/>
      <c r="AO80" s="10"/>
      <c r="AP80" s="8"/>
      <c r="AQ80" s="54"/>
      <c r="AR80" s="55"/>
      <c r="AS80" s="54"/>
      <c r="AT80" s="9"/>
      <c r="AU80" s="8"/>
      <c r="AV80" s="10"/>
      <c r="AW80" s="8"/>
      <c r="AX80" s="54"/>
      <c r="AY80" s="55"/>
      <c r="AZ80" s="54"/>
      <c r="BA80" s="9"/>
      <c r="BB80" s="8"/>
      <c r="BC80" s="10"/>
      <c r="BD80" s="8"/>
      <c r="BE80" s="54"/>
      <c r="BF80" s="55"/>
      <c r="BG80" s="54"/>
      <c r="BH80" s="9"/>
      <c r="BI80" s="8"/>
      <c r="BJ80" s="10"/>
      <c r="BK80" s="8"/>
      <c r="BL80" s="54"/>
      <c r="BM80" s="55"/>
      <c r="BN80" s="54"/>
      <c r="BO80" s="9"/>
      <c r="BP80" s="8"/>
      <c r="BQ80" s="10"/>
      <c r="BR80" s="8"/>
      <c r="BS80" s="54"/>
      <c r="BT80" s="55"/>
      <c r="BU80" s="54"/>
      <c r="BV80" s="9"/>
      <c r="BW80" s="8"/>
      <c r="BX80" s="10"/>
      <c r="BY80" s="8"/>
      <c r="BZ80" s="54"/>
      <c r="CA80" s="55"/>
      <c r="CB80" s="54"/>
      <c r="CC80" s="9"/>
      <c r="CD80" s="8"/>
      <c r="CE80" s="10"/>
      <c r="CF80" s="8"/>
      <c r="CG80" s="54"/>
      <c r="CH80" s="55"/>
      <c r="CI80" s="54"/>
      <c r="CJ80" s="9"/>
      <c r="CK80" s="8"/>
      <c r="CL80" s="10"/>
      <c r="CM80" s="8"/>
      <c r="CN80" s="54"/>
      <c r="CO80" s="55"/>
      <c r="CP80" s="54"/>
      <c r="CQ80" s="9"/>
      <c r="CR80" s="8"/>
      <c r="CS80" s="10"/>
      <c r="CT80" s="8"/>
      <c r="CU80" s="54"/>
      <c r="CV80" s="55"/>
      <c r="CW80" s="54"/>
      <c r="CX80" s="9"/>
      <c r="CY80" s="8"/>
      <c r="CZ80" s="10"/>
      <c r="DA80" s="8"/>
      <c r="DB80" s="54"/>
      <c r="DC80" s="55"/>
      <c r="DD80" s="54"/>
    </row>
    <row r="81" spans="1:108" ht="12.75">
      <c r="A81" s="8" t="s">
        <v>25</v>
      </c>
      <c r="B81" s="8"/>
      <c r="C81" s="8"/>
      <c r="D81" s="9">
        <v>24696698.320000067</v>
      </c>
      <c r="E81" s="14">
        <f>+D81/D94</f>
        <v>0.2701773563774772</v>
      </c>
      <c r="F81" s="10">
        <v>2518</v>
      </c>
      <c r="G81" s="14">
        <f>+F81/F94</f>
        <v>0.13261006951759005</v>
      </c>
      <c r="H81" s="8"/>
      <c r="I81" s="8"/>
      <c r="J81" s="9">
        <v>22768000.320000008</v>
      </c>
      <c r="K81" s="14">
        <f>+J81/J94</f>
        <v>0.2736067318624291</v>
      </c>
      <c r="L81" s="10">
        <v>2331</v>
      </c>
      <c r="M81" s="14">
        <f>+L81/L94</f>
        <v>0.15350675008231807</v>
      </c>
      <c r="N81" s="56"/>
      <c r="O81" s="55"/>
      <c r="P81" s="56"/>
      <c r="Q81" s="8"/>
      <c r="R81" s="9">
        <v>20780182.289999947</v>
      </c>
      <c r="S81" s="14">
        <v>0.2645655144996064</v>
      </c>
      <c r="T81" s="10">
        <v>2177</v>
      </c>
      <c r="U81" s="14">
        <v>0.15152780677942507</v>
      </c>
      <c r="V81" s="56"/>
      <c r="W81" s="55"/>
      <c r="X81" s="56"/>
      <c r="Y81" s="9">
        <v>19027586.409999978</v>
      </c>
      <c r="Z81" s="14">
        <v>0.23518823632464922</v>
      </c>
      <c r="AA81" s="10">
        <v>2108</v>
      </c>
      <c r="AB81" s="14">
        <v>0.14507914659325533</v>
      </c>
      <c r="AC81" s="56"/>
      <c r="AD81" s="55"/>
      <c r="AE81" s="56"/>
      <c r="AF81" s="9">
        <v>17318174.350000028</v>
      </c>
      <c r="AG81" s="14">
        <v>0.2157101201736186</v>
      </c>
      <c r="AH81" s="10">
        <v>2103</v>
      </c>
      <c r="AI81" s="14">
        <v>0.14801520270270271</v>
      </c>
      <c r="AJ81" s="56"/>
      <c r="AK81" s="55"/>
      <c r="AL81" s="56"/>
      <c r="AM81" s="9">
        <v>15635640.660000028</v>
      </c>
      <c r="AN81" s="14">
        <v>0.19154123054605382</v>
      </c>
      <c r="AO81" s="10">
        <v>2086</v>
      </c>
      <c r="AP81" s="14">
        <v>0.14734760189305643</v>
      </c>
      <c r="AQ81" s="56"/>
      <c r="AR81" s="55"/>
      <c r="AS81" s="56"/>
      <c r="AT81" s="9">
        <v>14255479.269999998</v>
      </c>
      <c r="AU81" s="14">
        <v>0.1773843986812047</v>
      </c>
      <c r="AV81" s="10">
        <v>2110</v>
      </c>
      <c r="AW81" s="14">
        <v>0.15307603017991875</v>
      </c>
      <c r="AX81" s="56"/>
      <c r="AY81" s="55"/>
      <c r="AZ81" s="56"/>
      <c r="BA81" s="9">
        <v>13758189.289999982</v>
      </c>
      <c r="BB81" s="14">
        <v>0.16493557879416745</v>
      </c>
      <c r="BC81" s="10">
        <v>2397</v>
      </c>
      <c r="BD81" s="14">
        <v>0.17120205699592886</v>
      </c>
      <c r="BE81" s="56"/>
      <c r="BF81" s="55"/>
      <c r="BG81" s="56"/>
      <c r="BH81" s="9">
        <v>12224407.240000006</v>
      </c>
      <c r="BI81" s="14">
        <v>0.16029442761902515</v>
      </c>
      <c r="BJ81" s="10">
        <v>1647</v>
      </c>
      <c r="BK81" s="14">
        <v>0.13424076941886054</v>
      </c>
      <c r="BL81" s="56"/>
      <c r="BM81" s="55"/>
      <c r="BN81" s="56"/>
      <c r="BO81" s="9">
        <v>11115228.179999998</v>
      </c>
      <c r="BP81" s="14">
        <v>0.15877221327935045</v>
      </c>
      <c r="BQ81" s="10">
        <v>1536</v>
      </c>
      <c r="BR81" s="14">
        <v>0.13541391166358108</v>
      </c>
      <c r="BS81" s="56"/>
      <c r="BT81" s="55"/>
      <c r="BU81" s="56"/>
      <c r="BV81" s="9">
        <v>10154129.449999982</v>
      </c>
      <c r="BW81" s="14">
        <v>0.15832716345513403</v>
      </c>
      <c r="BX81" s="10">
        <v>1463</v>
      </c>
      <c r="BY81" s="14">
        <v>0.13924050632911392</v>
      </c>
      <c r="BZ81" s="56"/>
      <c r="CA81" s="55"/>
      <c r="CB81" s="56"/>
      <c r="CC81" s="9">
        <v>9157410.58000001</v>
      </c>
      <c r="CD81" s="14">
        <v>0.15483454618622744</v>
      </c>
      <c r="CE81" s="10">
        <v>1372</v>
      </c>
      <c r="CF81" s="14">
        <v>0.1395301535645276</v>
      </c>
      <c r="CG81" s="56"/>
      <c r="CH81" s="55"/>
      <c r="CI81" s="56"/>
      <c r="CJ81" s="9">
        <v>8520764.00000001</v>
      </c>
      <c r="CK81" s="14">
        <v>0.15665378310345288</v>
      </c>
      <c r="CL81" s="10">
        <v>1254</v>
      </c>
      <c r="CM81" s="14">
        <v>0.13751507840772015</v>
      </c>
      <c r="CN81" s="56"/>
      <c r="CO81" s="55"/>
      <c r="CP81" s="56"/>
      <c r="CQ81" s="9">
        <v>7905303.459999994</v>
      </c>
      <c r="CR81" s="14">
        <v>0.1581747650698989</v>
      </c>
      <c r="CS81" s="10">
        <v>1083</v>
      </c>
      <c r="CT81" s="14">
        <v>0.12945254601960315</v>
      </c>
      <c r="CU81" s="56"/>
      <c r="CV81" s="55"/>
      <c r="CW81" s="56"/>
      <c r="CX81" s="9">
        <v>7460634.510000005</v>
      </c>
      <c r="CY81" s="14">
        <v>0.16097372305675509</v>
      </c>
      <c r="CZ81" s="10">
        <v>1027</v>
      </c>
      <c r="DA81" s="14">
        <v>0.1314475873544093</v>
      </c>
      <c r="DB81" s="56"/>
      <c r="DC81" s="55"/>
      <c r="DD81" s="56"/>
    </row>
    <row r="82" spans="1:108" ht="12.75">
      <c r="A82" s="8" t="s">
        <v>66</v>
      </c>
      <c r="B82" s="8"/>
      <c r="C82" s="8"/>
      <c r="D82" s="9">
        <v>11180166.210000006</v>
      </c>
      <c r="E82" s="14">
        <f>+D82/$D$94</f>
        <v>0.12230897067048078</v>
      </c>
      <c r="F82" s="10">
        <v>1296</v>
      </c>
      <c r="G82" s="14">
        <f>+F82/$F$94</f>
        <v>0.06825363387402571</v>
      </c>
      <c r="H82" s="8"/>
      <c r="I82" s="8"/>
      <c r="J82" s="9">
        <v>10401027.000000002</v>
      </c>
      <c r="K82" s="14">
        <f>+J82/$J$94</f>
        <v>0.12499081893384675</v>
      </c>
      <c r="L82" s="10">
        <v>1103</v>
      </c>
      <c r="M82" s="14">
        <f>+L82/$L$94</f>
        <v>0.07263747118867303</v>
      </c>
      <c r="N82" s="56"/>
      <c r="O82" s="55"/>
      <c r="P82" s="56"/>
      <c r="Q82" s="8"/>
      <c r="R82" s="9">
        <v>9540141.61</v>
      </c>
      <c r="S82" s="14">
        <v>0.12146151743160477</v>
      </c>
      <c r="T82" s="10">
        <v>1039</v>
      </c>
      <c r="U82" s="14">
        <v>0.07231850769123686</v>
      </c>
      <c r="V82" s="56"/>
      <c r="W82" s="55"/>
      <c r="X82" s="56"/>
      <c r="Y82" s="9">
        <v>8802014.1</v>
      </c>
      <c r="Z82" s="14">
        <v>0.10879625653392036</v>
      </c>
      <c r="AA82" s="10">
        <v>983</v>
      </c>
      <c r="AB82" s="14">
        <v>0.06765313145216793</v>
      </c>
      <c r="AC82" s="56"/>
      <c r="AD82" s="55"/>
      <c r="AE82" s="56"/>
      <c r="AF82" s="9">
        <v>7970090.489999997</v>
      </c>
      <c r="AG82" s="14">
        <v>0.09927311866983897</v>
      </c>
      <c r="AH82" s="10">
        <v>915</v>
      </c>
      <c r="AI82" s="14">
        <v>0.06440033783783784</v>
      </c>
      <c r="AJ82" s="56"/>
      <c r="AK82" s="55"/>
      <c r="AL82" s="56"/>
      <c r="AM82" s="9">
        <v>7276103.649999982</v>
      </c>
      <c r="AN82" s="14">
        <v>0.08913442544551466</v>
      </c>
      <c r="AO82" s="10">
        <v>863</v>
      </c>
      <c r="AP82" s="14">
        <v>0.060959242777424594</v>
      </c>
      <c r="AQ82" s="56"/>
      <c r="AR82" s="55"/>
      <c r="AS82" s="56"/>
      <c r="AT82" s="9">
        <v>6711401.560000002</v>
      </c>
      <c r="AU82" s="14">
        <v>0.08351160332673262</v>
      </c>
      <c r="AV82" s="10">
        <v>816</v>
      </c>
      <c r="AW82" s="14">
        <v>0.0591990713871155</v>
      </c>
      <c r="AX82" s="56"/>
      <c r="AY82" s="55"/>
      <c r="AZ82" s="56"/>
      <c r="BA82" s="9">
        <v>6351035.7799999975</v>
      </c>
      <c r="BB82" s="14">
        <v>0.07613732739366662</v>
      </c>
      <c r="BC82" s="10">
        <v>793</v>
      </c>
      <c r="BD82" s="14">
        <v>0.056638811513463325</v>
      </c>
      <c r="BE82" s="56"/>
      <c r="BF82" s="55"/>
      <c r="BG82" s="56"/>
      <c r="BH82" s="9">
        <v>5812295.220000006</v>
      </c>
      <c r="BI82" s="14">
        <v>0.07621461860286459</v>
      </c>
      <c r="BJ82" s="10">
        <v>741</v>
      </c>
      <c r="BK82" s="14">
        <v>0.060396120303203196</v>
      </c>
      <c r="BL82" s="56"/>
      <c r="BM82" s="55"/>
      <c r="BN82" s="56"/>
      <c r="BO82" s="9">
        <v>5417169.919999992</v>
      </c>
      <c r="BP82" s="14">
        <v>0.07737997313058495</v>
      </c>
      <c r="BQ82" s="10">
        <v>711</v>
      </c>
      <c r="BR82" s="14">
        <v>0.06268183020364983</v>
      </c>
      <c r="BS82" s="56"/>
      <c r="BT82" s="55"/>
      <c r="BU82" s="56"/>
      <c r="BV82" s="9">
        <v>4967516.1</v>
      </c>
      <c r="BW82" s="14">
        <v>0.07745545665962637</v>
      </c>
      <c r="BX82" s="10">
        <v>657</v>
      </c>
      <c r="BY82" s="14">
        <v>0.06252974207671076</v>
      </c>
      <c r="BZ82" s="56"/>
      <c r="CA82" s="55"/>
      <c r="CB82" s="56"/>
      <c r="CC82" s="9">
        <v>4661684.76</v>
      </c>
      <c r="CD82" s="14">
        <v>0.07882029946918165</v>
      </c>
      <c r="CE82" s="10">
        <v>611</v>
      </c>
      <c r="CF82" s="14">
        <v>0.062137699583036714</v>
      </c>
      <c r="CG82" s="56"/>
      <c r="CH82" s="55"/>
      <c r="CI82" s="56"/>
      <c r="CJ82" s="9">
        <v>4302574.97</v>
      </c>
      <c r="CK82" s="14">
        <v>0.07910260701232014</v>
      </c>
      <c r="CL82" s="10">
        <v>572</v>
      </c>
      <c r="CM82" s="14">
        <v>0.06272617611580217</v>
      </c>
      <c r="CN82" s="56"/>
      <c r="CO82" s="55"/>
      <c r="CP82" s="56"/>
      <c r="CQ82" s="9">
        <v>3966944.9600000056</v>
      </c>
      <c r="CR82" s="14">
        <v>0.07937337134091761</v>
      </c>
      <c r="CS82" s="10">
        <v>530</v>
      </c>
      <c r="CT82" s="14">
        <v>0.06335166148697108</v>
      </c>
      <c r="CU82" s="56"/>
      <c r="CV82" s="55"/>
      <c r="CW82" s="56"/>
      <c r="CX82" s="9">
        <v>3726226.64</v>
      </c>
      <c r="CY82" s="14">
        <v>0.08039860073430438</v>
      </c>
      <c r="CZ82" s="10">
        <v>502</v>
      </c>
      <c r="DA82" s="14">
        <v>0.06425188787917573</v>
      </c>
      <c r="DB82" s="56"/>
      <c r="DC82" s="55"/>
      <c r="DD82" s="56"/>
    </row>
    <row r="83" spans="1:108" ht="12.75">
      <c r="A83" s="8" t="s">
        <v>67</v>
      </c>
      <c r="B83" s="8"/>
      <c r="C83" s="8"/>
      <c r="D83" s="9">
        <v>23392261.340000045</v>
      </c>
      <c r="E83" s="14">
        <f aca="true" t="shared" si="15" ref="E83:E92">+D83/$D$94</f>
        <v>0.2559070547261824</v>
      </c>
      <c r="F83" s="10">
        <v>4859</v>
      </c>
      <c r="G83" s="14">
        <f aca="true" t="shared" si="16" ref="G83:G92">+F83/$F$94</f>
        <v>0.2558984621866442</v>
      </c>
      <c r="H83" s="8"/>
      <c r="I83" s="8"/>
      <c r="J83" s="9">
        <v>21096684.699999943</v>
      </c>
      <c r="K83" s="14">
        <v>0.25352226250755316</v>
      </c>
      <c r="L83" s="10">
        <v>3792</v>
      </c>
      <c r="M83" s="14">
        <f aca="true" t="shared" si="17" ref="M83:M92">+L83/$L$94</f>
        <v>0.24972011853803094</v>
      </c>
      <c r="N83" s="56"/>
      <c r="O83" s="55"/>
      <c r="P83" s="56"/>
      <c r="Q83" s="8"/>
      <c r="R83" s="9">
        <v>18939489.580000028</v>
      </c>
      <c r="S83" s="14">
        <v>0.2411305028591573</v>
      </c>
      <c r="T83" s="10">
        <v>3463</v>
      </c>
      <c r="U83" s="14">
        <v>0.24103849098628802</v>
      </c>
      <c r="V83" s="56"/>
      <c r="W83" s="55"/>
      <c r="X83" s="56"/>
      <c r="Y83" s="9">
        <v>17102014.54</v>
      </c>
      <c r="Z83" s="14">
        <v>0.21138743246737995</v>
      </c>
      <c r="AA83" s="10">
        <v>3180</v>
      </c>
      <c r="AB83" s="14">
        <v>0.2188575361321404</v>
      </c>
      <c r="AC83" s="56"/>
      <c r="AD83" s="55"/>
      <c r="AE83" s="56"/>
      <c r="AF83" s="9">
        <v>15211857.840000037</v>
      </c>
      <c r="AG83" s="14">
        <v>0.18947445708850974</v>
      </c>
      <c r="AH83" s="10">
        <v>2829</v>
      </c>
      <c r="AI83" s="14">
        <v>0.19911317567567569</v>
      </c>
      <c r="AJ83" s="56"/>
      <c r="AK83" s="55"/>
      <c r="AL83" s="56"/>
      <c r="AM83" s="9">
        <v>13653777.69000003</v>
      </c>
      <c r="AN83" s="14">
        <v>0.16726282198562992</v>
      </c>
      <c r="AO83" s="10">
        <v>2571</v>
      </c>
      <c r="AP83" s="14">
        <v>0.18160627251536343</v>
      </c>
      <c r="AQ83" s="56"/>
      <c r="AR83" s="55"/>
      <c r="AS83" s="56"/>
      <c r="AT83" s="9">
        <v>12073272.71000002</v>
      </c>
      <c r="AU83" s="14">
        <v>0.15023067125385764</v>
      </c>
      <c r="AV83" s="10">
        <v>2271</v>
      </c>
      <c r="AW83" s="14">
        <v>0.16475623911781775</v>
      </c>
      <c r="AX83" s="56"/>
      <c r="AY83" s="55"/>
      <c r="AZ83" s="56"/>
      <c r="BA83" s="9">
        <v>10963998.849999983</v>
      </c>
      <c r="BB83" s="14">
        <v>0.13143833524210335</v>
      </c>
      <c r="BC83" s="10">
        <v>2074</v>
      </c>
      <c r="BD83" s="14">
        <v>0.148132276265981</v>
      </c>
      <c r="BE83" s="56"/>
      <c r="BF83" s="55"/>
      <c r="BG83" s="56"/>
      <c r="BH83" s="9">
        <v>9809757.169999994</v>
      </c>
      <c r="BI83" s="14">
        <v>0.1286319557075535</v>
      </c>
      <c r="BJ83" s="10">
        <v>1855</v>
      </c>
      <c r="BK83" s="14">
        <v>0.15119406634607546</v>
      </c>
      <c r="BL83" s="56"/>
      <c r="BM83" s="55"/>
      <c r="BN83" s="56"/>
      <c r="BO83" s="9">
        <v>8752196.569999993</v>
      </c>
      <c r="BP83" s="14">
        <v>0.1250181820806164</v>
      </c>
      <c r="BQ83" s="10">
        <v>1666</v>
      </c>
      <c r="BR83" s="14">
        <v>0.14687472449969144</v>
      </c>
      <c r="BS83" s="56"/>
      <c r="BT83" s="55"/>
      <c r="BU83" s="56"/>
      <c r="BV83" s="9">
        <v>7940998.329999992</v>
      </c>
      <c r="BW83" s="14">
        <v>0.12381915621440666</v>
      </c>
      <c r="BX83" s="10">
        <v>1466</v>
      </c>
      <c r="BY83" s="14">
        <v>0.13952603026553725</v>
      </c>
      <c r="BZ83" s="56"/>
      <c r="CA83" s="55"/>
      <c r="CB83" s="56"/>
      <c r="CC83" s="9">
        <v>7221875.920000021</v>
      </c>
      <c r="CD83" s="14">
        <v>0.1221083046258308</v>
      </c>
      <c r="CE83" s="10">
        <v>1339</v>
      </c>
      <c r="CF83" s="14">
        <v>0.13617410759686768</v>
      </c>
      <c r="CG83" s="56"/>
      <c r="CH83" s="55"/>
      <c r="CI83" s="56"/>
      <c r="CJ83" s="9">
        <v>6561987.210000009</v>
      </c>
      <c r="CK83" s="14">
        <v>0.12064177826342476</v>
      </c>
      <c r="CL83" s="10">
        <v>1202</v>
      </c>
      <c r="CM83" s="14">
        <v>0.13181269876082904</v>
      </c>
      <c r="CN83" s="56"/>
      <c r="CO83" s="55"/>
      <c r="CP83" s="56"/>
      <c r="CQ83" s="9">
        <v>6019243.799999998</v>
      </c>
      <c r="CR83" s="14">
        <v>0.12043718230184751</v>
      </c>
      <c r="CS83" s="10">
        <v>1102</v>
      </c>
      <c r="CT83" s="14">
        <v>0.1317236433181927</v>
      </c>
      <c r="CU83" s="56"/>
      <c r="CV83" s="55"/>
      <c r="CW83" s="56"/>
      <c r="CX83" s="9">
        <v>5517805.050000002</v>
      </c>
      <c r="CY83" s="14">
        <v>0.11905443441966229</v>
      </c>
      <c r="CZ83" s="10">
        <v>992</v>
      </c>
      <c r="DA83" s="14">
        <v>0.12696787405606041</v>
      </c>
      <c r="DB83" s="56"/>
      <c r="DC83" s="55"/>
      <c r="DD83" s="56"/>
    </row>
    <row r="84" spans="1:108" ht="12.75">
      <c r="A84" s="8" t="s">
        <v>68</v>
      </c>
      <c r="B84" s="8"/>
      <c r="C84" s="8"/>
      <c r="D84" s="9">
        <v>17412903.310000002</v>
      </c>
      <c r="E84" s="14">
        <f t="shared" si="15"/>
        <v>0.19049397300782228</v>
      </c>
      <c r="F84" s="10">
        <v>3866</v>
      </c>
      <c r="G84" s="14">
        <f t="shared" si="16"/>
        <v>0.20360227512112913</v>
      </c>
      <c r="H84" s="8"/>
      <c r="I84" s="8"/>
      <c r="J84" s="9">
        <v>15645310.480000006</v>
      </c>
      <c r="K84" s="14">
        <f aca="true" t="shared" si="18" ref="K84:K92">+J84/$J$94</f>
        <v>0.18801221930964082</v>
      </c>
      <c r="L84" s="10">
        <v>3065</v>
      </c>
      <c r="M84" s="14">
        <f t="shared" si="17"/>
        <v>0.20184392492591374</v>
      </c>
      <c r="N84" s="56"/>
      <c r="O84" s="55"/>
      <c r="P84" s="56"/>
      <c r="Q84" s="8"/>
      <c r="R84" s="9">
        <v>14020483.889999975</v>
      </c>
      <c r="S84" s="14">
        <v>0.1785035608506828</v>
      </c>
      <c r="T84" s="10">
        <v>2812</v>
      </c>
      <c r="U84" s="14">
        <v>0.19572631725482006</v>
      </c>
      <c r="V84" s="56"/>
      <c r="W84" s="55"/>
      <c r="X84" s="56"/>
      <c r="Y84" s="9">
        <v>12666816.169999946</v>
      </c>
      <c r="Z84" s="14">
        <v>0.15656668642456786</v>
      </c>
      <c r="AA84" s="10">
        <v>2623</v>
      </c>
      <c r="AB84" s="14">
        <v>0.18052305574673091</v>
      </c>
      <c r="AC84" s="56"/>
      <c r="AD84" s="55"/>
      <c r="AE84" s="56"/>
      <c r="AF84" s="9">
        <v>11234797.57000001</v>
      </c>
      <c r="AG84" s="14">
        <v>0.13993735626936776</v>
      </c>
      <c r="AH84" s="10">
        <v>2399</v>
      </c>
      <c r="AI84" s="14">
        <v>0.16884853603603603</v>
      </c>
      <c r="AJ84" s="56"/>
      <c r="AK84" s="55"/>
      <c r="AL84" s="56"/>
      <c r="AM84" s="9">
        <v>10281584.869999988</v>
      </c>
      <c r="AN84" s="14">
        <v>0.1259524608416962</v>
      </c>
      <c r="AO84" s="10">
        <v>2216</v>
      </c>
      <c r="AP84" s="14">
        <v>0.15653033834852018</v>
      </c>
      <c r="AQ84" s="56"/>
      <c r="AR84" s="55"/>
      <c r="AS84" s="56"/>
      <c r="AT84" s="9">
        <v>9201443.410000011</v>
      </c>
      <c r="AU84" s="14">
        <v>0.11449580020202196</v>
      </c>
      <c r="AV84" s="10">
        <v>1954</v>
      </c>
      <c r="AW84" s="14">
        <v>0.141758560650029</v>
      </c>
      <c r="AX84" s="56"/>
      <c r="AY84" s="55"/>
      <c r="AZ84" s="56"/>
      <c r="BA84" s="9">
        <v>8973862.569999987</v>
      </c>
      <c r="BB84" s="14">
        <v>0.10758023354701678</v>
      </c>
      <c r="BC84" s="10">
        <v>1779</v>
      </c>
      <c r="BD84" s="14">
        <v>0.12706235268909363</v>
      </c>
      <c r="BE84" s="56"/>
      <c r="BF84" s="55"/>
      <c r="BG84" s="56"/>
      <c r="BH84" s="9">
        <v>8386952.760000008</v>
      </c>
      <c r="BI84" s="14">
        <v>0.10997521317295414</v>
      </c>
      <c r="BJ84" s="10">
        <v>1581</v>
      </c>
      <c r="BK84" s="14">
        <v>0.12886135789387887</v>
      </c>
      <c r="BL84" s="56"/>
      <c r="BM84" s="55"/>
      <c r="BN84" s="56"/>
      <c r="BO84" s="9">
        <v>7920573.410000011</v>
      </c>
      <c r="BP84" s="14">
        <v>0.11313910523313019</v>
      </c>
      <c r="BQ84" s="10">
        <v>1458</v>
      </c>
      <c r="BR84" s="14">
        <v>0.12853742396191484</v>
      </c>
      <c r="BS84" s="56"/>
      <c r="BT84" s="55"/>
      <c r="BU84" s="56"/>
      <c r="BV84" s="9">
        <v>7354078.360000005</v>
      </c>
      <c r="BW84" s="14">
        <v>0.11466767016305733</v>
      </c>
      <c r="BX84" s="10">
        <v>1337</v>
      </c>
      <c r="BY84" s="14">
        <v>0.12724850099933377</v>
      </c>
      <c r="BZ84" s="56"/>
      <c r="CA84" s="55"/>
      <c r="CB84" s="56"/>
      <c r="CC84" s="9">
        <v>6894642.050000006</v>
      </c>
      <c r="CD84" s="14">
        <v>0.11657539689874108</v>
      </c>
      <c r="CE84" s="10">
        <v>1252</v>
      </c>
      <c r="CF84" s="14">
        <v>0.12732635004576426</v>
      </c>
      <c r="CG84" s="56"/>
      <c r="CH84" s="55"/>
      <c r="CI84" s="56"/>
      <c r="CJ84" s="9">
        <v>6469011.170000008</v>
      </c>
      <c r="CK84" s="14">
        <v>0.11893241882054169</v>
      </c>
      <c r="CL84" s="10">
        <v>1165</v>
      </c>
      <c r="CM84" s="14">
        <v>0.1277552363197719</v>
      </c>
      <c r="CN84" s="56"/>
      <c r="CO84" s="55"/>
      <c r="CP84" s="56"/>
      <c r="CQ84" s="9">
        <v>6075564.06</v>
      </c>
      <c r="CR84" s="14">
        <v>0.12156407691623539</v>
      </c>
      <c r="CS84" s="10">
        <v>1081</v>
      </c>
      <c r="CT84" s="14">
        <v>0.12921348314606743</v>
      </c>
      <c r="CU84" s="56"/>
      <c r="CV84" s="55"/>
      <c r="CW84" s="56"/>
      <c r="CX84" s="9">
        <v>5786130.2500000065</v>
      </c>
      <c r="CY84" s="14">
        <v>0.12484392945202907</v>
      </c>
      <c r="CZ84" s="10">
        <v>1036</v>
      </c>
      <c r="DA84" s="14">
        <v>0.1325995136311276</v>
      </c>
      <c r="DB84" s="56"/>
      <c r="DC84" s="55"/>
      <c r="DD84" s="56"/>
    </row>
    <row r="85" spans="1:108" ht="12.75">
      <c r="A85" s="8" t="s">
        <v>69</v>
      </c>
      <c r="B85" s="8"/>
      <c r="C85" s="8"/>
      <c r="D85" s="9">
        <v>5963617.6000000015</v>
      </c>
      <c r="E85" s="14">
        <f t="shared" si="15"/>
        <v>0.06524088429704684</v>
      </c>
      <c r="F85" s="10">
        <v>2112</v>
      </c>
      <c r="G85" s="14">
        <f t="shared" si="16"/>
        <v>0.11122814409100484</v>
      </c>
      <c r="H85" s="8"/>
      <c r="I85" s="8"/>
      <c r="J85" s="9">
        <v>5278059.38</v>
      </c>
      <c r="K85" s="14">
        <f t="shared" si="18"/>
        <v>0.0634272908134621</v>
      </c>
      <c r="L85" s="10">
        <v>1579</v>
      </c>
      <c r="M85" s="14">
        <f t="shared" si="17"/>
        <v>0.10398419492920645</v>
      </c>
      <c r="N85" s="56"/>
      <c r="O85" s="55"/>
      <c r="P85" s="56"/>
      <c r="Q85" s="8"/>
      <c r="R85" s="9">
        <v>5080639</v>
      </c>
      <c r="S85" s="14">
        <v>0.06468479690231675</v>
      </c>
      <c r="T85" s="10">
        <v>1474</v>
      </c>
      <c r="U85" s="14">
        <v>0.10259622746572006</v>
      </c>
      <c r="V85" s="56"/>
      <c r="W85" s="55"/>
      <c r="X85" s="56"/>
      <c r="Y85" s="9">
        <v>6410839.39</v>
      </c>
      <c r="Z85" s="14">
        <v>0.0792404237198622</v>
      </c>
      <c r="AA85" s="10">
        <v>1670</v>
      </c>
      <c r="AB85" s="14">
        <v>0.11493461803165864</v>
      </c>
      <c r="AC85" s="56"/>
      <c r="AD85" s="55"/>
      <c r="AE85" s="56"/>
      <c r="AF85" s="9">
        <v>7132918.059999992</v>
      </c>
      <c r="AG85" s="14">
        <v>0.08884554346290954</v>
      </c>
      <c r="AH85" s="10">
        <v>1736</v>
      </c>
      <c r="AI85" s="14">
        <v>0.12218468468468469</v>
      </c>
      <c r="AJ85" s="56"/>
      <c r="AK85" s="55"/>
      <c r="AL85" s="56"/>
      <c r="AM85" s="9">
        <v>7756504.020000001</v>
      </c>
      <c r="AN85" s="14">
        <v>0.09501947230899145</v>
      </c>
      <c r="AO85" s="10">
        <v>1795</v>
      </c>
      <c r="AP85" s="14">
        <v>0.12679239951967225</v>
      </c>
      <c r="AQ85" s="56"/>
      <c r="AR85" s="55"/>
      <c r="AS85" s="56"/>
      <c r="AT85" s="9">
        <v>7963480.339999997</v>
      </c>
      <c r="AU85" s="14">
        <v>0.09909152437219287</v>
      </c>
      <c r="AV85" s="10">
        <v>1816</v>
      </c>
      <c r="AW85" s="14">
        <v>0.1317469529889727</v>
      </c>
      <c r="AX85" s="56"/>
      <c r="AY85" s="55"/>
      <c r="AZ85" s="56"/>
      <c r="BA85" s="9">
        <v>7474745.109999999</v>
      </c>
      <c r="BB85" s="14">
        <v>0.08960855131952647</v>
      </c>
      <c r="BC85" s="10">
        <v>1722</v>
      </c>
      <c r="BD85" s="14">
        <v>0.12299121491322049</v>
      </c>
      <c r="BE85" s="56"/>
      <c r="BF85" s="55"/>
      <c r="BG85" s="56"/>
      <c r="BH85" s="9">
        <v>6965784.559999996</v>
      </c>
      <c r="BI85" s="14">
        <v>0.09133992569464185</v>
      </c>
      <c r="BJ85" s="10">
        <v>1584</v>
      </c>
      <c r="BK85" s="14">
        <v>0.12910587659955985</v>
      </c>
      <c r="BL85" s="56"/>
      <c r="BM85" s="55"/>
      <c r="BN85" s="56"/>
      <c r="BO85" s="9">
        <v>6501676.159999995</v>
      </c>
      <c r="BP85" s="14">
        <v>0.09287128408269775</v>
      </c>
      <c r="BQ85" s="10">
        <v>1468</v>
      </c>
      <c r="BR85" s="14">
        <v>0.12941902494930793</v>
      </c>
      <c r="BS85" s="56"/>
      <c r="BT85" s="55"/>
      <c r="BU85" s="56"/>
      <c r="BV85" s="9">
        <v>6113729.899999998</v>
      </c>
      <c r="BW85" s="14">
        <v>0.09532767116710744</v>
      </c>
      <c r="BX85" s="10">
        <v>1380</v>
      </c>
      <c r="BY85" s="14">
        <v>0.13134101075473495</v>
      </c>
      <c r="BZ85" s="56"/>
      <c r="CA85" s="55"/>
      <c r="CB85" s="56"/>
      <c r="CC85" s="9">
        <v>5724299.509999996</v>
      </c>
      <c r="CD85" s="14">
        <v>0.09678711128237875</v>
      </c>
      <c r="CE85" s="10">
        <v>1307</v>
      </c>
      <c r="CF85" s="14">
        <v>0.13291975999186414</v>
      </c>
      <c r="CG85" s="56"/>
      <c r="CH85" s="55"/>
      <c r="CI85" s="56"/>
      <c r="CJ85" s="9">
        <v>5417001.649999997</v>
      </c>
      <c r="CK85" s="14">
        <v>0.09959128096378973</v>
      </c>
      <c r="CL85" s="10">
        <v>1237</v>
      </c>
      <c r="CM85" s="14">
        <v>0.13565083890777496</v>
      </c>
      <c r="CN85" s="56"/>
      <c r="CO85" s="55"/>
      <c r="CP85" s="56"/>
      <c r="CQ85" s="9">
        <v>5077018.26</v>
      </c>
      <c r="CR85" s="14">
        <v>0.10158448370697806</v>
      </c>
      <c r="CS85" s="10">
        <v>1156</v>
      </c>
      <c r="CT85" s="14">
        <v>0.13817834090365766</v>
      </c>
      <c r="CU85" s="56"/>
      <c r="CV85" s="55"/>
      <c r="CW85" s="56"/>
      <c r="CX85" s="9">
        <v>4805714.5</v>
      </c>
      <c r="CY85" s="14">
        <v>0.10369007541864318</v>
      </c>
      <c r="CZ85" s="10">
        <v>1096</v>
      </c>
      <c r="DA85" s="14">
        <v>0.14027902214258287</v>
      </c>
      <c r="DB85" s="56"/>
      <c r="DC85" s="55"/>
      <c r="DD85" s="56"/>
    </row>
    <row r="86" spans="1:108" ht="12.75">
      <c r="A86" s="8" t="s">
        <v>70</v>
      </c>
      <c r="B86" s="8"/>
      <c r="C86" s="8"/>
      <c r="D86" s="9">
        <v>2758587.48</v>
      </c>
      <c r="E86" s="14">
        <f t="shared" si="15"/>
        <v>0.030178441791097067</v>
      </c>
      <c r="F86" s="10">
        <v>714</v>
      </c>
      <c r="G86" s="14">
        <f t="shared" si="16"/>
        <v>0.03760269643985675</v>
      </c>
      <c r="H86" s="8"/>
      <c r="I86" s="8"/>
      <c r="J86" s="9">
        <v>2528269.04</v>
      </c>
      <c r="K86" s="14">
        <f t="shared" si="18"/>
        <v>0.03038261681223311</v>
      </c>
      <c r="L86" s="10">
        <v>554</v>
      </c>
      <c r="M86" s="14">
        <f t="shared" si="17"/>
        <v>0.03648337174843596</v>
      </c>
      <c r="N86" s="56"/>
      <c r="O86" s="55"/>
      <c r="P86" s="56"/>
      <c r="Q86" s="8"/>
      <c r="R86" s="9">
        <v>4751788.99</v>
      </c>
      <c r="S86" s="14">
        <v>0.06049800147989549</v>
      </c>
      <c r="T86" s="10">
        <v>753</v>
      </c>
      <c r="U86" s="14">
        <v>0.05241177698893297</v>
      </c>
      <c r="V86" s="56"/>
      <c r="W86" s="55"/>
      <c r="X86" s="56"/>
      <c r="Y86" s="9">
        <v>10587886.32999999</v>
      </c>
      <c r="Z86" s="14">
        <v>0.1308703194772964</v>
      </c>
      <c r="AA86" s="10">
        <v>1209</v>
      </c>
      <c r="AB86" s="14">
        <v>0.08320715760495527</v>
      </c>
      <c r="AC86" s="56"/>
      <c r="AD86" s="55"/>
      <c r="AE86" s="56"/>
      <c r="AF86" s="9">
        <v>14811907.52999999</v>
      </c>
      <c r="AG86" s="14">
        <v>0.18449279287321754</v>
      </c>
      <c r="AH86" s="10">
        <v>1527</v>
      </c>
      <c r="AI86" s="14">
        <v>0.10747466216216216</v>
      </c>
      <c r="AJ86" s="56"/>
      <c r="AK86" s="55"/>
      <c r="AL86" s="56"/>
      <c r="AM86" s="9">
        <v>19903282.360000014</v>
      </c>
      <c r="AN86" s="14">
        <v>0.24382110576976906</v>
      </c>
      <c r="AO86" s="10">
        <v>1931</v>
      </c>
      <c r="AP86" s="14">
        <v>0.13639895458077275</v>
      </c>
      <c r="AQ86" s="56"/>
      <c r="AR86" s="55"/>
      <c r="AS86" s="56"/>
      <c r="AT86" s="9">
        <v>22679998.129999995</v>
      </c>
      <c r="AU86" s="14">
        <v>0.28221273758555976</v>
      </c>
      <c r="AV86" s="10">
        <v>2157</v>
      </c>
      <c r="AW86" s="14">
        <v>0.15648578061520604</v>
      </c>
      <c r="AX86" s="56"/>
      <c r="AY86" s="55"/>
      <c r="AZ86" s="56"/>
      <c r="BA86" s="9">
        <v>24431724.430000026</v>
      </c>
      <c r="BB86" s="14">
        <v>0.2928917842939244</v>
      </c>
      <c r="BC86" s="10">
        <v>2301</v>
      </c>
      <c r="BD86" s="14">
        <v>0.16434540389972144</v>
      </c>
      <c r="BE86" s="56"/>
      <c r="BF86" s="55"/>
      <c r="BG86" s="56"/>
      <c r="BH86" s="9">
        <v>22398379.509999964</v>
      </c>
      <c r="BI86" s="14">
        <v>0.29370221006717245</v>
      </c>
      <c r="BJ86" s="10">
        <v>2146</v>
      </c>
      <c r="BK86" s="14">
        <v>0.17491238079713098</v>
      </c>
      <c r="BL86" s="56"/>
      <c r="BM86" s="55"/>
      <c r="BN86" s="56"/>
      <c r="BO86" s="9">
        <v>20368238.019999985</v>
      </c>
      <c r="BP86" s="14">
        <v>0.2909441154662839</v>
      </c>
      <c r="BQ86" s="10">
        <v>1987</v>
      </c>
      <c r="BR86" s="14">
        <v>0.17517411619501014</v>
      </c>
      <c r="BS86" s="56"/>
      <c r="BT86" s="55"/>
      <c r="BU86" s="56"/>
      <c r="BV86" s="9">
        <v>18464983.269999985</v>
      </c>
      <c r="BW86" s="14">
        <v>0.2879132513310245</v>
      </c>
      <c r="BX86" s="10">
        <v>1844</v>
      </c>
      <c r="BY86" s="14">
        <v>0.1755020462548777</v>
      </c>
      <c r="BZ86" s="56"/>
      <c r="CA86" s="55"/>
      <c r="CB86" s="56"/>
      <c r="CC86" s="9">
        <v>16952818.590000045</v>
      </c>
      <c r="CD86" s="14">
        <v>0.28664019703265226</v>
      </c>
      <c r="CE86" s="10">
        <v>1725</v>
      </c>
      <c r="CF86" s="14">
        <v>0.17542967558222314</v>
      </c>
      <c r="CG86" s="56"/>
      <c r="CH86" s="55"/>
      <c r="CI86" s="56"/>
      <c r="CJ86" s="9">
        <v>15265225.500000015</v>
      </c>
      <c r="CK86" s="14">
        <v>0.2806503412724842</v>
      </c>
      <c r="CL86" s="10">
        <v>1586</v>
      </c>
      <c r="CM86" s="14">
        <v>0.17392257923017876</v>
      </c>
      <c r="CN86" s="56"/>
      <c r="CO86" s="55"/>
      <c r="CP86" s="56"/>
      <c r="CQ86" s="9">
        <v>13616258.900000002</v>
      </c>
      <c r="CR86" s="14">
        <v>0.2724435011933649</v>
      </c>
      <c r="CS86" s="10">
        <v>1441</v>
      </c>
      <c r="CT86" s="14">
        <v>0.1722448003825006</v>
      </c>
      <c r="CU86" s="56"/>
      <c r="CV86" s="55"/>
      <c r="CW86" s="56"/>
      <c r="CX86" s="9">
        <v>12316116.990000004</v>
      </c>
      <c r="CY86" s="14">
        <v>0.26573761291019943</v>
      </c>
      <c r="CZ86" s="10">
        <v>1336</v>
      </c>
      <c r="DA86" s="14">
        <v>0.17099705618840394</v>
      </c>
      <c r="DB86" s="56"/>
      <c r="DC86" s="55"/>
      <c r="DD86" s="56"/>
    </row>
    <row r="87" spans="1:108" ht="12.75">
      <c r="A87" s="8" t="s">
        <v>71</v>
      </c>
      <c r="B87" s="8"/>
      <c r="C87" s="8"/>
      <c r="D87" s="9">
        <v>3325776.65</v>
      </c>
      <c r="E87" s="14">
        <f t="shared" si="15"/>
        <v>0.03638338742921243</v>
      </c>
      <c r="F87" s="10">
        <v>1973</v>
      </c>
      <c r="G87" s="14">
        <f t="shared" si="16"/>
        <v>0.10390773119865178</v>
      </c>
      <c r="H87" s="8"/>
      <c r="I87" s="8"/>
      <c r="J87" s="9">
        <v>3045345.6000000103</v>
      </c>
      <c r="K87" s="14">
        <f t="shared" si="18"/>
        <v>0.03659640922772223</v>
      </c>
      <c r="L87" s="10">
        <v>1518</v>
      </c>
      <c r="M87" s="14">
        <f t="shared" si="17"/>
        <v>0.09996707276918011</v>
      </c>
      <c r="N87" s="56"/>
      <c r="O87" s="55"/>
      <c r="P87" s="56"/>
      <c r="Q87" s="8"/>
      <c r="R87" s="9">
        <v>2788674.5</v>
      </c>
      <c r="S87" s="14">
        <v>0.03550436149058605</v>
      </c>
      <c r="T87" s="10">
        <v>1399</v>
      </c>
      <c r="U87" s="14">
        <v>0.09737593095287812</v>
      </c>
      <c r="V87" s="56"/>
      <c r="W87" s="55"/>
      <c r="X87" s="56"/>
      <c r="Y87" s="9">
        <v>2549369.38</v>
      </c>
      <c r="Z87" s="14">
        <v>0.03151117936361881</v>
      </c>
      <c r="AA87" s="10">
        <v>1306</v>
      </c>
      <c r="AB87" s="14">
        <v>0.08988300068823124</v>
      </c>
      <c r="AC87" s="56"/>
      <c r="AD87" s="55"/>
      <c r="AE87" s="56"/>
      <c r="AF87" s="9">
        <v>2314174.35</v>
      </c>
      <c r="AG87" s="14">
        <v>0.028824679614176844</v>
      </c>
      <c r="AH87" s="10">
        <v>1194</v>
      </c>
      <c r="AI87" s="14">
        <v>0.08403716216216216</v>
      </c>
      <c r="AJ87" s="56"/>
      <c r="AK87" s="55"/>
      <c r="AL87" s="56"/>
      <c r="AM87" s="9">
        <v>2156770.69</v>
      </c>
      <c r="AN87" s="14">
        <v>0.026421079951338612</v>
      </c>
      <c r="AO87" s="10">
        <v>1084</v>
      </c>
      <c r="AP87" s="14">
        <v>0.07656989475171293</v>
      </c>
      <c r="AQ87" s="56"/>
      <c r="AR87" s="55"/>
      <c r="AS87" s="56"/>
      <c r="AT87" s="9">
        <v>2001931.79</v>
      </c>
      <c r="AU87" s="14">
        <v>0.024910524581046756</v>
      </c>
      <c r="AV87" s="10">
        <v>985</v>
      </c>
      <c r="AW87" s="14">
        <v>0.07145966337782937</v>
      </c>
      <c r="AX87" s="56"/>
      <c r="AY87" s="55"/>
      <c r="AZ87" s="56"/>
      <c r="BA87" s="9">
        <v>3376935.23</v>
      </c>
      <c r="BB87" s="14">
        <v>0.04048328998608111</v>
      </c>
      <c r="BC87" s="10">
        <v>1038</v>
      </c>
      <c r="BD87" s="14">
        <v>0.07413756160274267</v>
      </c>
      <c r="BE87" s="56"/>
      <c r="BF87" s="55"/>
      <c r="BG87" s="56"/>
      <c r="BH87" s="9">
        <v>3253943.85</v>
      </c>
      <c r="BI87" s="14">
        <v>0.042667841204887494</v>
      </c>
      <c r="BJ87" s="10">
        <v>970</v>
      </c>
      <c r="BK87" s="14">
        <v>0.07906104817018501</v>
      </c>
      <c r="BL87" s="56"/>
      <c r="BM87" s="55"/>
      <c r="BN87" s="56"/>
      <c r="BO87" s="9">
        <v>3178041.5</v>
      </c>
      <c r="BP87" s="14">
        <v>0.0453958006689006</v>
      </c>
      <c r="BQ87" s="10">
        <v>906</v>
      </c>
      <c r="BR87" s="14">
        <v>0.0798730494578154</v>
      </c>
      <c r="BS87" s="56"/>
      <c r="BT87" s="55"/>
      <c r="BU87" s="56"/>
      <c r="BV87" s="9">
        <v>3002257.38</v>
      </c>
      <c r="BW87" s="14">
        <v>0.04681237296395147</v>
      </c>
      <c r="BX87" s="10">
        <v>859</v>
      </c>
      <c r="BY87" s="14">
        <v>0.08175502046254877</v>
      </c>
      <c r="BZ87" s="56"/>
      <c r="CA87" s="55"/>
      <c r="CB87" s="56"/>
      <c r="CC87" s="9">
        <v>2864390.58</v>
      </c>
      <c r="CD87" s="14">
        <v>0.04843144376676014</v>
      </c>
      <c r="CE87" s="10">
        <v>815</v>
      </c>
      <c r="CF87" s="14">
        <v>0.0828841655649344</v>
      </c>
      <c r="CG87" s="56"/>
      <c r="CH87" s="55"/>
      <c r="CI87" s="56"/>
      <c r="CJ87" s="9">
        <v>2685657.51</v>
      </c>
      <c r="CK87" s="14">
        <v>0.049375667376974526</v>
      </c>
      <c r="CL87" s="10">
        <v>775</v>
      </c>
      <c r="CM87" s="14">
        <v>0.0849873889680886</v>
      </c>
      <c r="CN87" s="56"/>
      <c r="CO87" s="55"/>
      <c r="CP87" s="56"/>
      <c r="CQ87" s="9">
        <v>2548601.63</v>
      </c>
      <c r="CR87" s="14">
        <v>0.05099417955576012</v>
      </c>
      <c r="CS87" s="10">
        <v>738</v>
      </c>
      <c r="CT87" s="14">
        <v>0.08821420033468802</v>
      </c>
      <c r="CU87" s="56"/>
      <c r="CV87" s="55"/>
      <c r="CW87" s="56"/>
      <c r="CX87" s="9">
        <v>2374466.57</v>
      </c>
      <c r="CY87" s="14">
        <v>0.05123246870415358</v>
      </c>
      <c r="CZ87" s="10">
        <v>689</v>
      </c>
      <c r="DA87" s="14">
        <v>0.08818635607321132</v>
      </c>
      <c r="DB87" s="56"/>
      <c r="DC87" s="55"/>
      <c r="DD87" s="56"/>
    </row>
    <row r="88" spans="1:108" ht="12.75">
      <c r="A88" s="8" t="s">
        <v>72</v>
      </c>
      <c r="B88" s="8"/>
      <c r="C88" s="8"/>
      <c r="D88" s="9">
        <v>150605.54</v>
      </c>
      <c r="E88" s="14">
        <f t="shared" si="15"/>
        <v>0.0016475970239329663</v>
      </c>
      <c r="F88" s="10">
        <v>145</v>
      </c>
      <c r="G88" s="14">
        <f t="shared" si="16"/>
        <v>0.0076364019380661475</v>
      </c>
      <c r="H88" s="8"/>
      <c r="I88" s="8"/>
      <c r="J88" s="9">
        <v>132979.46</v>
      </c>
      <c r="K88" s="14">
        <f t="shared" si="18"/>
        <v>0.0015980356177116657</v>
      </c>
      <c r="L88" s="10">
        <v>111</v>
      </c>
      <c r="M88" s="14">
        <f t="shared" si="17"/>
        <v>0.007309845242015146</v>
      </c>
      <c r="N88" s="56"/>
      <c r="O88" s="55"/>
      <c r="P88" s="56"/>
      <c r="Q88" s="8"/>
      <c r="R88" s="9">
        <v>515231.58</v>
      </c>
      <c r="S88" s="14">
        <v>0.0065597359131321425</v>
      </c>
      <c r="T88" s="10">
        <v>193</v>
      </c>
      <c r="U88" s="14">
        <v>0.013433563026379899</v>
      </c>
      <c r="V88" s="56"/>
      <c r="W88" s="55"/>
      <c r="X88" s="56"/>
      <c r="Y88" s="9">
        <v>1796247.84</v>
      </c>
      <c r="Z88" s="14">
        <v>0.022202309446327777</v>
      </c>
      <c r="AA88" s="10">
        <v>459</v>
      </c>
      <c r="AB88" s="14">
        <v>0.03158981417756366</v>
      </c>
      <c r="AC88" s="56"/>
      <c r="AD88" s="55"/>
      <c r="AE88" s="56"/>
      <c r="AF88" s="9">
        <v>2497734.98</v>
      </c>
      <c r="AG88" s="14">
        <v>0.031111057193950093</v>
      </c>
      <c r="AH88" s="10">
        <v>616</v>
      </c>
      <c r="AI88" s="14">
        <v>0.04335585585585586</v>
      </c>
      <c r="AJ88" s="56"/>
      <c r="AK88" s="55"/>
      <c r="AL88" s="56"/>
      <c r="AM88" s="9">
        <v>3298197.39</v>
      </c>
      <c r="AN88" s="14">
        <v>0.04040389520338217</v>
      </c>
      <c r="AO88" s="10">
        <v>806</v>
      </c>
      <c r="AP88" s="14">
        <v>0.05693296602387511</v>
      </c>
      <c r="AQ88" s="56"/>
      <c r="AR88" s="55"/>
      <c r="AS88" s="56"/>
      <c r="AT88" s="9">
        <v>3921489.39</v>
      </c>
      <c r="AU88" s="14">
        <v>0.0487960470640756</v>
      </c>
      <c r="AV88" s="10">
        <v>953</v>
      </c>
      <c r="AW88" s="14">
        <v>0.06913813116656993</v>
      </c>
      <c r="AX88" s="56"/>
      <c r="AY88" s="55"/>
      <c r="AZ88" s="56"/>
      <c r="BA88" s="9">
        <v>4182857.76</v>
      </c>
      <c r="BB88" s="14">
        <v>0.05014483018929853</v>
      </c>
      <c r="BC88" s="10">
        <v>1034</v>
      </c>
      <c r="BD88" s="14">
        <v>0.07385186772373402</v>
      </c>
      <c r="BE88" s="56"/>
      <c r="BF88" s="55"/>
      <c r="BG88" s="56"/>
      <c r="BH88" s="9">
        <v>3708182.6699999934</v>
      </c>
      <c r="BI88" s="14">
        <v>0.04862411787538233</v>
      </c>
      <c r="BJ88" s="10">
        <v>944</v>
      </c>
      <c r="BK88" s="14">
        <v>0.07694188605428315</v>
      </c>
      <c r="BL88" s="56"/>
      <c r="BM88" s="55"/>
      <c r="BN88" s="56"/>
      <c r="BO88" s="9">
        <v>3270818.249999993</v>
      </c>
      <c r="BP88" s="14">
        <v>0.046721042913128105</v>
      </c>
      <c r="BQ88" s="10">
        <v>872</v>
      </c>
      <c r="BR88" s="14">
        <v>0.07687560610067884</v>
      </c>
      <c r="BS88" s="56"/>
      <c r="BT88" s="55"/>
      <c r="BU88" s="56"/>
      <c r="BV88" s="9">
        <v>2906049.86</v>
      </c>
      <c r="BW88" s="14">
        <v>0.04531226763048502</v>
      </c>
      <c r="BX88" s="10">
        <v>809</v>
      </c>
      <c r="BY88" s="14">
        <v>0.07699628818882649</v>
      </c>
      <c r="BZ88" s="56"/>
      <c r="CA88" s="55"/>
      <c r="CB88" s="56"/>
      <c r="CC88" s="9">
        <v>2690281.61</v>
      </c>
      <c r="CD88" s="14">
        <v>0.04548758937458307</v>
      </c>
      <c r="CE88" s="10">
        <v>767</v>
      </c>
      <c r="CF88" s="14">
        <v>0.07800264415742907</v>
      </c>
      <c r="CG88" s="56"/>
      <c r="CH88" s="55"/>
      <c r="CI88" s="56"/>
      <c r="CJ88" s="9">
        <v>2383752.85</v>
      </c>
      <c r="CK88" s="14">
        <v>0.04382516660901967</v>
      </c>
      <c r="CL88" s="10">
        <v>711</v>
      </c>
      <c r="CM88" s="14">
        <v>0.07796907555653032</v>
      </c>
      <c r="CN88" s="56"/>
      <c r="CO88" s="55"/>
      <c r="CP88" s="56"/>
      <c r="CQ88" s="9">
        <v>2150992.1</v>
      </c>
      <c r="CR88" s="14">
        <v>0.043038533790163765</v>
      </c>
      <c r="CS88" s="10">
        <v>656</v>
      </c>
      <c r="CT88" s="14">
        <v>0.07841262251972268</v>
      </c>
      <c r="CU88" s="56"/>
      <c r="CV88" s="55"/>
      <c r="CW88" s="56"/>
      <c r="CX88" s="9">
        <v>1914035.2</v>
      </c>
      <c r="CY88" s="14">
        <v>0.04129801182361907</v>
      </c>
      <c r="CZ88" s="10">
        <v>590</v>
      </c>
      <c r="DA88" s="14">
        <v>0.07551516702931012</v>
      </c>
      <c r="DB88" s="56"/>
      <c r="DC88" s="55"/>
      <c r="DD88" s="56"/>
    </row>
    <row r="89" spans="1:108" ht="12.75">
      <c r="A89" s="8" t="s">
        <v>73</v>
      </c>
      <c r="B89" s="8"/>
      <c r="C89" s="8"/>
      <c r="D89" s="9">
        <v>1220158.74</v>
      </c>
      <c r="E89" s="14">
        <f t="shared" si="15"/>
        <v>0.013348313141401027</v>
      </c>
      <c r="F89" s="10">
        <v>1020</v>
      </c>
      <c r="G89" s="14">
        <f t="shared" si="16"/>
        <v>0.05371813777122393</v>
      </c>
      <c r="H89" s="8"/>
      <c r="I89" s="8"/>
      <c r="J89" s="9">
        <v>1107614.1</v>
      </c>
      <c r="K89" s="14">
        <f t="shared" si="18"/>
        <v>0.01331037727540517</v>
      </c>
      <c r="L89" s="10">
        <v>744</v>
      </c>
      <c r="M89" s="14">
        <f t="shared" si="17"/>
        <v>0.04899571945999341</v>
      </c>
      <c r="N89" s="56"/>
      <c r="O89" s="55"/>
      <c r="P89" s="56"/>
      <c r="Q89" s="8"/>
      <c r="R89" s="9">
        <v>1003265.45</v>
      </c>
      <c r="S89" s="14">
        <v>0.012773200747457438</v>
      </c>
      <c r="T89" s="10">
        <v>689</v>
      </c>
      <c r="U89" s="14">
        <v>0.04795712396464119</v>
      </c>
      <c r="V89" s="56"/>
      <c r="W89" s="55"/>
      <c r="X89" s="56"/>
      <c r="Y89" s="9">
        <v>916764.3</v>
      </c>
      <c r="Z89" s="14">
        <v>0.011331556940352993</v>
      </c>
      <c r="AA89" s="10">
        <v>638</v>
      </c>
      <c r="AB89" s="14">
        <v>0.04390915347556779</v>
      </c>
      <c r="AC89" s="56"/>
      <c r="AD89" s="55"/>
      <c r="AE89" s="56"/>
      <c r="AF89" s="9">
        <v>829270.35</v>
      </c>
      <c r="AG89" s="14">
        <v>0.010329149207053596</v>
      </c>
      <c r="AH89" s="10">
        <v>574</v>
      </c>
      <c r="AI89" s="14">
        <v>0.04039977477477477</v>
      </c>
      <c r="AJ89" s="56"/>
      <c r="AK89" s="55"/>
      <c r="AL89" s="56"/>
      <c r="AM89" s="9">
        <v>763570.9400000005</v>
      </c>
      <c r="AN89" s="14">
        <v>0.00935397024254757</v>
      </c>
      <c r="AO89" s="10">
        <v>523</v>
      </c>
      <c r="AP89" s="14">
        <v>0.0369428551246733</v>
      </c>
      <c r="AQ89" s="56"/>
      <c r="AR89" s="55"/>
      <c r="AS89" s="56"/>
      <c r="AT89" s="9">
        <v>702619.07</v>
      </c>
      <c r="AU89" s="14">
        <v>0.008742860122295791</v>
      </c>
      <c r="AV89" s="10">
        <v>472</v>
      </c>
      <c r="AW89" s="14">
        <v>0.03424260011607661</v>
      </c>
      <c r="AX89" s="56"/>
      <c r="AY89" s="55"/>
      <c r="AZ89" s="56"/>
      <c r="BA89" s="9">
        <v>3105483.36</v>
      </c>
      <c r="BB89" s="14">
        <v>0.03722907750582751</v>
      </c>
      <c r="BC89" s="10">
        <v>636</v>
      </c>
      <c r="BD89" s="14">
        <v>0.04542532676237412</v>
      </c>
      <c r="BE89" s="56"/>
      <c r="BF89" s="55"/>
      <c r="BG89" s="56"/>
      <c r="BH89" s="9">
        <v>2941955.01</v>
      </c>
      <c r="BI89" s="14">
        <v>0.038576839363286194</v>
      </c>
      <c r="BJ89" s="10">
        <v>588</v>
      </c>
      <c r="BK89" s="14">
        <v>0.04792566631347298</v>
      </c>
      <c r="BL89" s="56"/>
      <c r="BM89" s="55"/>
      <c r="BN89" s="56"/>
      <c r="BO89" s="9">
        <v>2737330.38</v>
      </c>
      <c r="BP89" s="14">
        <v>0.03910059207704051</v>
      </c>
      <c r="BQ89" s="10">
        <v>537</v>
      </c>
      <c r="BR89" s="14">
        <v>0.047341973023009784</v>
      </c>
      <c r="BS89" s="56"/>
      <c r="BT89" s="55"/>
      <c r="BU89" s="56"/>
      <c r="BV89" s="9">
        <v>2516530.42</v>
      </c>
      <c r="BW89" s="14">
        <v>0.03923872795881662</v>
      </c>
      <c r="BX89" s="10">
        <v>504</v>
      </c>
      <c r="BY89" s="14">
        <v>0.047968021319120584</v>
      </c>
      <c r="BZ89" s="56"/>
      <c r="CA89" s="55"/>
      <c r="CB89" s="56"/>
      <c r="CC89" s="9">
        <v>2288675.02</v>
      </c>
      <c r="CD89" s="14">
        <v>0.03869717918550017</v>
      </c>
      <c r="CE89" s="10">
        <v>470</v>
      </c>
      <c r="CF89" s="14">
        <v>0.04779823044848978</v>
      </c>
      <c r="CG89" s="56"/>
      <c r="CH89" s="55"/>
      <c r="CI89" s="56"/>
      <c r="CJ89" s="9">
        <v>2130841.99</v>
      </c>
      <c r="CK89" s="14">
        <v>0.03917541419163702</v>
      </c>
      <c r="CL89" s="10">
        <v>453</v>
      </c>
      <c r="CM89" s="14">
        <v>0.04967649961618598</v>
      </c>
      <c r="CN89" s="56"/>
      <c r="CO89" s="55"/>
      <c r="CP89" s="56"/>
      <c r="CQ89" s="9">
        <v>1989728.07</v>
      </c>
      <c r="CR89" s="14">
        <v>0.03981185183057269</v>
      </c>
      <c r="CS89" s="10">
        <v>423</v>
      </c>
      <c r="CT89" s="14">
        <v>0.05056179775280899</v>
      </c>
      <c r="CU89" s="56"/>
      <c r="CV89" s="55"/>
      <c r="CW89" s="56"/>
      <c r="CX89" s="9">
        <v>1810897.4</v>
      </c>
      <c r="CY89" s="14">
        <v>0.039072668170659075</v>
      </c>
      <c r="CZ89" s="10">
        <v>393</v>
      </c>
      <c r="DA89" s="14">
        <v>0.050300780750032</v>
      </c>
      <c r="DB89" s="56"/>
      <c r="DC89" s="55"/>
      <c r="DD89" s="56"/>
    </row>
    <row r="90" spans="1:108" ht="12.75">
      <c r="A90" s="8" t="s">
        <v>74</v>
      </c>
      <c r="B90" s="8"/>
      <c r="C90" s="8"/>
      <c r="D90" s="9">
        <v>151857.55</v>
      </c>
      <c r="E90" s="14">
        <f t="shared" si="15"/>
        <v>0.0016612937840251533</v>
      </c>
      <c r="F90" s="10">
        <v>96</v>
      </c>
      <c r="G90" s="14">
        <f t="shared" si="16"/>
        <v>0.005055824731409311</v>
      </c>
      <c r="H90" s="8"/>
      <c r="I90" s="8"/>
      <c r="J90" s="9">
        <v>140557.57</v>
      </c>
      <c r="K90" s="14">
        <f t="shared" si="18"/>
        <v>0.0016891029877772155</v>
      </c>
      <c r="L90" s="10">
        <v>76</v>
      </c>
      <c r="M90" s="14">
        <f t="shared" si="17"/>
        <v>0.005004939084622983</v>
      </c>
      <c r="N90" s="56"/>
      <c r="O90" s="55"/>
      <c r="P90" s="56"/>
      <c r="Q90" s="8"/>
      <c r="R90" s="9">
        <v>130083.31</v>
      </c>
      <c r="S90" s="14">
        <v>0.0016561720853875096</v>
      </c>
      <c r="T90" s="10">
        <v>69</v>
      </c>
      <c r="U90" s="14">
        <v>0.004802672791814575</v>
      </c>
      <c r="V90" s="56"/>
      <c r="W90" s="55"/>
      <c r="X90" s="56"/>
      <c r="Y90" s="9">
        <v>123010.15</v>
      </c>
      <c r="Z90" s="14">
        <v>0.0015204524423195398</v>
      </c>
      <c r="AA90" s="10">
        <v>67</v>
      </c>
      <c r="AB90" s="14">
        <v>0.004611149346180316</v>
      </c>
      <c r="AC90" s="56"/>
      <c r="AD90" s="55"/>
      <c r="AE90" s="56"/>
      <c r="AF90" s="9">
        <v>112272.01</v>
      </c>
      <c r="AG90" s="14">
        <v>0.0013984273561279664</v>
      </c>
      <c r="AH90" s="10">
        <v>63</v>
      </c>
      <c r="AI90" s="14">
        <v>0.0044341216216216214</v>
      </c>
      <c r="AJ90" s="56"/>
      <c r="AK90" s="55"/>
      <c r="AL90" s="56"/>
      <c r="AM90" s="9">
        <v>104277.36</v>
      </c>
      <c r="AN90" s="14">
        <v>0.00127742855485231</v>
      </c>
      <c r="AO90" s="10">
        <v>57</v>
      </c>
      <c r="AP90" s="14">
        <v>0.004026276753549481</v>
      </c>
      <c r="AQ90" s="56"/>
      <c r="AR90" s="55"/>
      <c r="AS90" s="56"/>
      <c r="AT90" s="9">
        <v>98112.68</v>
      </c>
      <c r="AU90" s="14">
        <v>0.0012208399602128184</v>
      </c>
      <c r="AV90" s="10">
        <v>53</v>
      </c>
      <c r="AW90" s="14">
        <v>0.003845037724898433</v>
      </c>
      <c r="AX90" s="56"/>
      <c r="AY90" s="55"/>
      <c r="AZ90" s="56"/>
      <c r="BA90" s="9">
        <v>93910.74</v>
      </c>
      <c r="BB90" s="14">
        <v>0.0011258183711825205</v>
      </c>
      <c r="BC90" s="10">
        <v>50</v>
      </c>
      <c r="BD90" s="14">
        <v>0.003571173487608028</v>
      </c>
      <c r="BE90" s="56"/>
      <c r="BF90" s="55"/>
      <c r="BG90" s="56"/>
      <c r="BH90" s="9">
        <v>89224.45</v>
      </c>
      <c r="BI90" s="14">
        <v>0.0011699693786029598</v>
      </c>
      <c r="BJ90" s="10">
        <v>49</v>
      </c>
      <c r="BK90" s="14">
        <v>0.003993805526122748</v>
      </c>
      <c r="BL90" s="56"/>
      <c r="BM90" s="55"/>
      <c r="BN90" s="56"/>
      <c r="BO90" s="9">
        <v>82336.35</v>
      </c>
      <c r="BP90" s="14">
        <v>0.0011761094159421254</v>
      </c>
      <c r="BQ90" s="10">
        <v>44</v>
      </c>
      <c r="BR90" s="14">
        <v>0.003879044344529666</v>
      </c>
      <c r="BS90" s="56"/>
      <c r="BT90" s="55"/>
      <c r="BU90" s="56"/>
      <c r="BV90" s="9">
        <v>74362.08</v>
      </c>
      <c r="BW90" s="14">
        <v>0.0011594826767767643</v>
      </c>
      <c r="BX90" s="10">
        <v>38</v>
      </c>
      <c r="BY90" s="14">
        <v>0.003616636528028933</v>
      </c>
      <c r="BZ90" s="56"/>
      <c r="CA90" s="55"/>
      <c r="CB90" s="56"/>
      <c r="CC90" s="9">
        <v>68578.51</v>
      </c>
      <c r="CD90" s="14">
        <v>0.001159533296144689</v>
      </c>
      <c r="CE90" s="10">
        <v>33</v>
      </c>
      <c r="CF90" s="14">
        <v>0.0033560459676599207</v>
      </c>
      <c r="CG90" s="56"/>
      <c r="CH90" s="55"/>
      <c r="CI90" s="56"/>
      <c r="CJ90" s="9">
        <v>67004.57</v>
      </c>
      <c r="CK90" s="14">
        <v>0.0012318753782782996</v>
      </c>
      <c r="CL90" s="10">
        <v>33</v>
      </c>
      <c r="CM90" s="14">
        <v>0.0036188178528347406</v>
      </c>
      <c r="CN90" s="56"/>
      <c r="CO90" s="55"/>
      <c r="CP90" s="56"/>
      <c r="CQ90" s="9">
        <v>65413.08</v>
      </c>
      <c r="CR90" s="14">
        <v>0.0013088300295936409</v>
      </c>
      <c r="CS90" s="10">
        <v>32</v>
      </c>
      <c r="CT90" s="14">
        <v>0.0038250059765718384</v>
      </c>
      <c r="CU90" s="56"/>
      <c r="CV90" s="55"/>
      <c r="CW90" s="56"/>
      <c r="CX90" s="9">
        <v>60881.54</v>
      </c>
      <c r="CY90" s="14">
        <v>0.0013136051827887696</v>
      </c>
      <c r="CZ90" s="10">
        <v>29</v>
      </c>
      <c r="DA90" s="14">
        <v>0.003711762447203379</v>
      </c>
      <c r="DB90" s="56"/>
      <c r="DC90" s="55"/>
      <c r="DD90" s="56"/>
    </row>
    <row r="91" spans="1:108" ht="12.75">
      <c r="A91" s="8" t="s">
        <v>75</v>
      </c>
      <c r="B91" s="8"/>
      <c r="C91" s="8"/>
      <c r="D91" s="9">
        <v>30452.07</v>
      </c>
      <c r="E91" s="14">
        <f t="shared" si="15"/>
        <v>0.00033314006845032635</v>
      </c>
      <c r="F91" s="10">
        <v>44</v>
      </c>
      <c r="G91" s="14">
        <f t="shared" si="16"/>
        <v>0.0023172530018959344</v>
      </c>
      <c r="H91" s="8"/>
      <c r="I91" s="8"/>
      <c r="J91" s="9">
        <v>26193.72</v>
      </c>
      <c r="K91" s="14">
        <f t="shared" si="18"/>
        <v>0.0003147741577561408</v>
      </c>
      <c r="L91" s="10">
        <v>32</v>
      </c>
      <c r="M91" s="14">
        <f t="shared" si="17"/>
        <v>0.002107342772472835</v>
      </c>
      <c r="N91" s="56"/>
      <c r="O91" s="55"/>
      <c r="P91" s="56"/>
      <c r="Q91" s="8"/>
      <c r="R91" s="9">
        <v>20215.98</v>
      </c>
      <c r="S91" s="14">
        <v>0.00025738230180914203</v>
      </c>
      <c r="T91" s="10">
        <v>27</v>
      </c>
      <c r="U91" s="14">
        <v>0.0018793067446230946</v>
      </c>
      <c r="V91" s="56"/>
      <c r="W91" s="55"/>
      <c r="X91" s="56"/>
      <c r="Y91" s="9">
        <v>17260.83</v>
      </c>
      <c r="Z91" s="14">
        <v>0.0002133504522184745</v>
      </c>
      <c r="AA91" s="10">
        <v>24</v>
      </c>
      <c r="AB91" s="14">
        <v>0.0016517549896765313</v>
      </c>
      <c r="AC91" s="56"/>
      <c r="AD91" s="55"/>
      <c r="AE91" s="56"/>
      <c r="AF91" s="9">
        <v>14836.79</v>
      </c>
      <c r="AG91" s="14">
        <v>0.00018480272165008764</v>
      </c>
      <c r="AH91" s="10">
        <v>20</v>
      </c>
      <c r="AI91" s="14">
        <v>0.0014076576576576576</v>
      </c>
      <c r="AJ91" s="56"/>
      <c r="AK91" s="55"/>
      <c r="AL91" s="56"/>
      <c r="AM91" s="9">
        <v>13195.56</v>
      </c>
      <c r="AN91" s="14">
        <v>0.000161649519524343</v>
      </c>
      <c r="AO91" s="10">
        <v>19</v>
      </c>
      <c r="AP91" s="14">
        <v>0.0013420922511831602</v>
      </c>
      <c r="AQ91" s="56"/>
      <c r="AR91" s="55"/>
      <c r="AS91" s="56"/>
      <c r="AT91" s="9">
        <v>11864.58</v>
      </c>
      <c r="AU91" s="14">
        <v>0.0001476338570625306</v>
      </c>
      <c r="AV91" s="10">
        <v>17</v>
      </c>
      <c r="AW91" s="14">
        <v>0.0012333139872315727</v>
      </c>
      <c r="AX91" s="56"/>
      <c r="AY91" s="55"/>
      <c r="AZ91" s="56"/>
      <c r="BA91" s="9">
        <v>10975.34</v>
      </c>
      <c r="BB91" s="14">
        <v>0.00013157429493127582</v>
      </c>
      <c r="BC91" s="10">
        <v>14</v>
      </c>
      <c r="BD91" s="14">
        <v>0.0009999285765302478</v>
      </c>
      <c r="BE91" s="56"/>
      <c r="BF91" s="55"/>
      <c r="BG91" s="56"/>
      <c r="BH91" s="9">
        <v>10430.74</v>
      </c>
      <c r="BI91" s="14">
        <v>0.0001367746889576684</v>
      </c>
      <c r="BJ91" s="10">
        <v>12</v>
      </c>
      <c r="BK91" s="14">
        <v>0.0009780748227239385</v>
      </c>
      <c r="BL91" s="56"/>
      <c r="BM91" s="55"/>
      <c r="BN91" s="56"/>
      <c r="BO91" s="9">
        <v>12131.25</v>
      </c>
      <c r="BP91" s="14">
        <v>0.00017328527864239677</v>
      </c>
      <c r="BQ91" s="10">
        <v>12</v>
      </c>
      <c r="BR91" s="14">
        <v>0.0010579211848717272</v>
      </c>
      <c r="BS91" s="56"/>
      <c r="BT91" s="55"/>
      <c r="BU91" s="56"/>
      <c r="BV91" s="9">
        <v>8722.07</v>
      </c>
      <c r="BW91" s="14">
        <v>0.00013599793161560723</v>
      </c>
      <c r="BX91" s="10">
        <v>10</v>
      </c>
      <c r="BY91" s="14">
        <v>0.0009517464547444561</v>
      </c>
      <c r="BZ91" s="56"/>
      <c r="CA91" s="55"/>
      <c r="CB91" s="56"/>
      <c r="CC91" s="9">
        <v>8511.36</v>
      </c>
      <c r="CD91" s="14">
        <v>0.00014391104903670347</v>
      </c>
      <c r="CE91" s="10">
        <v>9</v>
      </c>
      <c r="CF91" s="14">
        <v>0.0009152852639072511</v>
      </c>
      <c r="CG91" s="56"/>
      <c r="CH91" s="55"/>
      <c r="CI91" s="56"/>
      <c r="CJ91" s="9">
        <v>8223.82</v>
      </c>
      <c r="CK91" s="14">
        <v>0.00015119448380002503</v>
      </c>
      <c r="CL91" s="10">
        <v>9</v>
      </c>
      <c r="CM91" s="14">
        <v>0.0009869503235003837</v>
      </c>
      <c r="CN91" s="56"/>
      <c r="CO91" s="55"/>
      <c r="CP91" s="56"/>
      <c r="CQ91" s="9">
        <v>8160.24</v>
      </c>
      <c r="CR91" s="14">
        <v>0.00016327571122917942</v>
      </c>
      <c r="CS91" s="10">
        <v>9</v>
      </c>
      <c r="CT91" s="14">
        <v>0.0010757829309108295</v>
      </c>
      <c r="CU91" s="56"/>
      <c r="CV91" s="55"/>
      <c r="CW91" s="56"/>
      <c r="CX91" s="9">
        <v>7733.21</v>
      </c>
      <c r="CY91" s="14">
        <v>0.00016685492409676135</v>
      </c>
      <c r="CZ91" s="10">
        <v>8</v>
      </c>
      <c r="DA91" s="14">
        <v>0.0010239344681940356</v>
      </c>
      <c r="DB91" s="56"/>
      <c r="DC91" s="55"/>
      <c r="DD91" s="56"/>
    </row>
    <row r="92" spans="1:108" ht="12.75">
      <c r="A92" s="8" t="s">
        <v>76</v>
      </c>
      <c r="B92" s="8"/>
      <c r="C92" s="8"/>
      <c r="D92" s="9">
        <v>1126123.76</v>
      </c>
      <c r="E92" s="14">
        <f t="shared" si="15"/>
        <v>0.01231958768287144</v>
      </c>
      <c r="F92" s="10">
        <v>345</v>
      </c>
      <c r="G92" s="14">
        <f t="shared" si="16"/>
        <v>0.018169370128502213</v>
      </c>
      <c r="H92" s="8"/>
      <c r="I92" s="8"/>
      <c r="J92" s="9">
        <v>1044286.6</v>
      </c>
      <c r="K92" s="14">
        <f t="shared" si="18"/>
        <v>0.012549360494462944</v>
      </c>
      <c r="L92" s="10">
        <v>280</v>
      </c>
      <c r="M92" s="14">
        <f t="shared" si="17"/>
        <v>0.018439249259137307</v>
      </c>
      <c r="N92" s="56"/>
      <c r="O92" s="55"/>
      <c r="P92" s="56"/>
      <c r="Q92" s="8"/>
      <c r="R92" s="9">
        <v>974365.19</v>
      </c>
      <c r="S92" s="14">
        <v>0.012405253438364204</v>
      </c>
      <c r="T92" s="10">
        <v>272</v>
      </c>
      <c r="U92" s="14">
        <v>0.018932275353240064</v>
      </c>
      <c r="V92" s="56"/>
      <c r="W92" s="55"/>
      <c r="X92" s="56"/>
      <c r="Y92" s="9">
        <v>903839.09</v>
      </c>
      <c r="Z92" s="14">
        <v>0.011171796407486454</v>
      </c>
      <c r="AA92" s="10">
        <v>263</v>
      </c>
      <c r="AB92" s="14">
        <v>0.01810048176187199</v>
      </c>
      <c r="AC92" s="56"/>
      <c r="AD92" s="55"/>
      <c r="AE92" s="56"/>
      <c r="AF92" s="9">
        <v>836443.46</v>
      </c>
      <c r="AG92" s="14">
        <v>0.010418495369579013</v>
      </c>
      <c r="AH92" s="10">
        <v>232</v>
      </c>
      <c r="AI92" s="14">
        <v>0.01632882882882883</v>
      </c>
      <c r="AJ92" s="56"/>
      <c r="AK92" s="55"/>
      <c r="AL92" s="56"/>
      <c r="AM92" s="9">
        <v>787773.57</v>
      </c>
      <c r="AN92" s="14">
        <v>0.009650459630699755</v>
      </c>
      <c r="AO92" s="10">
        <v>206</v>
      </c>
      <c r="AP92" s="14">
        <v>0.014551105460196369</v>
      </c>
      <c r="AQ92" s="56"/>
      <c r="AR92" s="55"/>
      <c r="AS92" s="56"/>
      <c r="AT92" s="9">
        <v>743805.99</v>
      </c>
      <c r="AU92" s="14">
        <v>0.009255358993737162</v>
      </c>
      <c r="AV92" s="10">
        <v>180</v>
      </c>
      <c r="AW92" s="14">
        <v>0.0130586186883343</v>
      </c>
      <c r="AX92" s="56"/>
      <c r="AY92" s="55"/>
      <c r="AZ92" s="56"/>
      <c r="BA92" s="9">
        <v>691814.99</v>
      </c>
      <c r="BB92" s="14">
        <v>0.008293599062273942</v>
      </c>
      <c r="BC92" s="10">
        <v>163</v>
      </c>
      <c r="BD92" s="14">
        <v>0.011642025569602171</v>
      </c>
      <c r="BE92" s="56"/>
      <c r="BF92" s="55"/>
      <c r="BG92" s="56"/>
      <c r="BH92" s="9">
        <v>660896.44</v>
      </c>
      <c r="BI92" s="14">
        <v>0.008666106624671918</v>
      </c>
      <c r="BJ92" s="10">
        <v>152</v>
      </c>
      <c r="BK92" s="14">
        <v>0.01238894775450322</v>
      </c>
      <c r="BL92" s="56"/>
      <c r="BM92" s="55"/>
      <c r="BN92" s="56"/>
      <c r="BO92" s="9">
        <v>651649.53</v>
      </c>
      <c r="BP92" s="14">
        <v>0.009308296373682589</v>
      </c>
      <c r="BQ92" s="10">
        <v>146</v>
      </c>
      <c r="BR92" s="14">
        <v>0.012871374415939345</v>
      </c>
      <c r="BS92" s="56"/>
      <c r="BT92" s="55"/>
      <c r="BU92" s="56"/>
      <c r="BV92" s="9">
        <v>630485.82</v>
      </c>
      <c r="BW92" s="14">
        <v>0.009830781847998241</v>
      </c>
      <c r="BX92" s="10">
        <v>140</v>
      </c>
      <c r="BY92" s="14">
        <v>0.013324450366422385</v>
      </c>
      <c r="BZ92" s="56"/>
      <c r="CA92" s="55"/>
      <c r="CB92" s="56"/>
      <c r="CC92" s="9">
        <v>610031.82</v>
      </c>
      <c r="CD92" s="14">
        <v>0.010314487832963178</v>
      </c>
      <c r="CE92" s="10">
        <v>133</v>
      </c>
      <c r="CF92" s="14">
        <v>0.013525882233296043</v>
      </c>
      <c r="CG92" s="56"/>
      <c r="CH92" s="55"/>
      <c r="CI92" s="56"/>
      <c r="CJ92" s="9">
        <v>580283.06</v>
      </c>
      <c r="CK92" s="14">
        <v>0.01066847252427691</v>
      </c>
      <c r="CL92" s="10">
        <v>122</v>
      </c>
      <c r="CM92" s="14">
        <v>0.01337865994078298</v>
      </c>
      <c r="CN92" s="56"/>
      <c r="CO92" s="55"/>
      <c r="CP92" s="56"/>
      <c r="CQ92" s="9">
        <v>555056.26</v>
      </c>
      <c r="CR92" s="14">
        <v>0.011105948553438175</v>
      </c>
      <c r="CS92" s="10">
        <v>115</v>
      </c>
      <c r="CT92" s="14">
        <v>0.013746115228305045</v>
      </c>
      <c r="CU92" s="56"/>
      <c r="CV92" s="55"/>
      <c r="CW92" s="56"/>
      <c r="CX92" s="9">
        <v>566267.24</v>
      </c>
      <c r="CY92" s="14">
        <v>0.01221801520308934</v>
      </c>
      <c r="CZ92" s="10">
        <v>115</v>
      </c>
      <c r="DA92" s="14">
        <v>0.014719057980289262</v>
      </c>
      <c r="DB92" s="56"/>
      <c r="DC92" s="55"/>
      <c r="DD92" s="56"/>
    </row>
    <row r="93" spans="1:108" ht="12.75">
      <c r="A93" s="8"/>
      <c r="B93" s="8"/>
      <c r="C93" s="8"/>
      <c r="D93" s="9"/>
      <c r="E93" s="8"/>
      <c r="F93" s="10"/>
      <c r="G93" s="8"/>
      <c r="H93" s="8"/>
      <c r="I93" s="8"/>
      <c r="J93" s="9"/>
      <c r="K93" s="8"/>
      <c r="L93" s="10"/>
      <c r="M93" s="8"/>
      <c r="N93" s="54"/>
      <c r="O93" s="55"/>
      <c r="P93" s="54"/>
      <c r="Q93" s="8"/>
      <c r="R93" s="9"/>
      <c r="S93" s="8"/>
      <c r="T93" s="10"/>
      <c r="U93" s="8"/>
      <c r="V93" s="54"/>
      <c r="W93" s="55"/>
      <c r="X93" s="54"/>
      <c r="Y93" s="9"/>
      <c r="Z93" s="8"/>
      <c r="AA93" s="10"/>
      <c r="AB93" s="8"/>
      <c r="AC93" s="54"/>
      <c r="AD93" s="55"/>
      <c r="AE93" s="54"/>
      <c r="AF93" s="9"/>
      <c r="AG93" s="8"/>
      <c r="AH93" s="10"/>
      <c r="AI93" s="8"/>
      <c r="AJ93" s="54"/>
      <c r="AK93" s="55"/>
      <c r="AL93" s="54"/>
      <c r="AM93" s="9"/>
      <c r="AN93" s="8"/>
      <c r="AO93" s="10"/>
      <c r="AP93" s="8"/>
      <c r="AQ93" s="54"/>
      <c r="AR93" s="55"/>
      <c r="AS93" s="54"/>
      <c r="AT93" s="9"/>
      <c r="AU93" s="8"/>
      <c r="AV93" s="10"/>
      <c r="AW93" s="8"/>
      <c r="AX93" s="54"/>
      <c r="AY93" s="55"/>
      <c r="AZ93" s="54"/>
      <c r="BA93" s="9"/>
      <c r="BB93" s="8"/>
      <c r="BC93" s="10"/>
      <c r="BD93" s="8"/>
      <c r="BE93" s="54"/>
      <c r="BF93" s="55"/>
      <c r="BG93" s="54"/>
      <c r="BH93" s="9"/>
      <c r="BI93" s="8"/>
      <c r="BJ93" s="10"/>
      <c r="BK93" s="8"/>
      <c r="BL93" s="54"/>
      <c r="BM93" s="55"/>
      <c r="BN93" s="54"/>
      <c r="BO93" s="9"/>
      <c r="BP93" s="8"/>
      <c r="BQ93" s="10"/>
      <c r="BR93" s="8"/>
      <c r="BS93" s="54"/>
      <c r="BT93" s="55"/>
      <c r="BU93" s="54"/>
      <c r="BV93" s="9"/>
      <c r="BW93" s="8"/>
      <c r="BX93" s="10"/>
      <c r="BY93" s="8"/>
      <c r="BZ93" s="54"/>
      <c r="CA93" s="55"/>
      <c r="CB93" s="54"/>
      <c r="CC93" s="9"/>
      <c r="CD93" s="8"/>
      <c r="CE93" s="10"/>
      <c r="CF93" s="8"/>
      <c r="CG93" s="54"/>
      <c r="CH93" s="55"/>
      <c r="CI93" s="54"/>
      <c r="CJ93" s="9"/>
      <c r="CK93" s="8"/>
      <c r="CL93" s="10"/>
      <c r="CM93" s="8"/>
      <c r="CN93" s="54"/>
      <c r="CO93" s="55"/>
      <c r="CP93" s="54"/>
      <c r="CQ93" s="9"/>
      <c r="CR93" s="8"/>
      <c r="CS93" s="10"/>
      <c r="CT93" s="8"/>
      <c r="CU93" s="54"/>
      <c r="CV93" s="55"/>
      <c r="CW93" s="54"/>
      <c r="CX93" s="9"/>
      <c r="CY93" s="8"/>
      <c r="CZ93" s="10"/>
      <c r="DA93" s="8"/>
      <c r="DB93" s="54"/>
      <c r="DC93" s="55"/>
      <c r="DD93" s="54"/>
    </row>
    <row r="94" spans="1:108" s="1" customFormat="1" ht="13.5" thickBot="1">
      <c r="A94" s="8"/>
      <c r="B94" s="12"/>
      <c r="C94" s="12"/>
      <c r="D94" s="21">
        <f>SUM(D81:D92)</f>
        <v>91409208.57000013</v>
      </c>
      <c r="E94" s="12"/>
      <c r="F94" s="22">
        <f>SUM(F81:F92)</f>
        <v>18988</v>
      </c>
      <c r="G94" s="12"/>
      <c r="H94" s="12"/>
      <c r="I94" s="12"/>
      <c r="J94" s="21">
        <f>SUM(J81:J92)</f>
        <v>83214327.96999994</v>
      </c>
      <c r="K94" s="12"/>
      <c r="L94" s="22">
        <f>SUM(L81:L92)</f>
        <v>15185</v>
      </c>
      <c r="M94" s="12"/>
      <c r="N94" s="53"/>
      <c r="O94" s="31"/>
      <c r="P94" s="53"/>
      <c r="Q94" s="12"/>
      <c r="R94" s="21">
        <v>78544561.36999995</v>
      </c>
      <c r="S94" s="12"/>
      <c r="T94" s="22">
        <v>14367</v>
      </c>
      <c r="U94" s="12"/>
      <c r="V94" s="53"/>
      <c r="W94" s="31"/>
      <c r="X94" s="53"/>
      <c r="Y94" s="21">
        <f>SUM(Y81:Y93)</f>
        <v>80903648.52999991</v>
      </c>
      <c r="Z94" s="12"/>
      <c r="AA94" s="22">
        <f>SUM(AA81:AA93)</f>
        <v>14530</v>
      </c>
      <c r="AB94" s="12"/>
      <c r="AC94" s="53"/>
      <c r="AD94" s="31"/>
      <c r="AE94" s="53"/>
      <c r="AF94" s="21">
        <f>SUM(AF81:AF93)</f>
        <v>80284477.78000006</v>
      </c>
      <c r="AG94" s="12"/>
      <c r="AH94" s="22">
        <f>SUM(AH81:AH93)</f>
        <v>14208</v>
      </c>
      <c r="AI94" s="12"/>
      <c r="AJ94" s="53"/>
      <c r="AK94" s="31"/>
      <c r="AL94" s="53"/>
      <c r="AM94" s="21">
        <f>SUM(AM81:AM93)</f>
        <v>81630678.76000004</v>
      </c>
      <c r="AN94" s="12"/>
      <c r="AO94" s="22">
        <f>SUM(AO81:AO93)</f>
        <v>14157</v>
      </c>
      <c r="AP94" s="12"/>
      <c r="AQ94" s="53"/>
      <c r="AR94" s="31"/>
      <c r="AS94" s="53"/>
      <c r="AT94" s="21">
        <f>SUM(AT81:AT93)</f>
        <v>80364898.92000002</v>
      </c>
      <c r="AU94" s="12"/>
      <c r="AV94" s="22">
        <f>SUM(AV81:AV93)</f>
        <v>13784</v>
      </c>
      <c r="AW94" s="12"/>
      <c r="AX94" s="53"/>
      <c r="AY94" s="31"/>
      <c r="AZ94" s="53"/>
      <c r="BA94" s="21">
        <f>SUM(BA81:BA93)</f>
        <v>83415533.44999997</v>
      </c>
      <c r="BB94" s="12"/>
      <c r="BC94" s="22">
        <f>SUM(BC81:BC93)</f>
        <v>14001</v>
      </c>
      <c r="BD94" s="12"/>
      <c r="BE94" s="53"/>
      <c r="BF94" s="31"/>
      <c r="BG94" s="53"/>
      <c r="BH94" s="21">
        <f>SUM(BH81:BH93)</f>
        <v>76262209.61999996</v>
      </c>
      <c r="BI94" s="12"/>
      <c r="BJ94" s="22">
        <f>SUM(BJ81:BJ93)</f>
        <v>12269</v>
      </c>
      <c r="BK94" s="12"/>
      <c r="BL94" s="53"/>
      <c r="BM94" s="31"/>
      <c r="BN94" s="53"/>
      <c r="BO94" s="21">
        <f>SUM(BO81:BO93)</f>
        <v>70007389.51999997</v>
      </c>
      <c r="BP94" s="12"/>
      <c r="BQ94" s="22">
        <f>SUM(BQ81:BQ93)</f>
        <v>11343</v>
      </c>
      <c r="BR94" s="12"/>
      <c r="BS94" s="53"/>
      <c r="BT94" s="31"/>
      <c r="BU94" s="53"/>
      <c r="BV94" s="21">
        <f>SUM(BV81:BV93)</f>
        <v>64133843.03999997</v>
      </c>
      <c r="BW94" s="12"/>
      <c r="BX94" s="22">
        <f>SUM(BX81:BX93)</f>
        <v>10507</v>
      </c>
      <c r="BY94" s="12"/>
      <c r="BZ94" s="53"/>
      <c r="CA94" s="31"/>
      <c r="CB94" s="53"/>
      <c r="CC94" s="21">
        <f>SUM(CC81:CC93)</f>
        <v>59143200.310000084</v>
      </c>
      <c r="CD94" s="12"/>
      <c r="CE94" s="22">
        <f>SUM(CE81:CE93)</f>
        <v>9833</v>
      </c>
      <c r="CF94" s="12"/>
      <c r="CG94" s="53"/>
      <c r="CH94" s="31"/>
      <c r="CI94" s="53"/>
      <c r="CJ94" s="21">
        <f>SUM(CJ81:CJ93)</f>
        <v>54392328.30000004</v>
      </c>
      <c r="CK94" s="12"/>
      <c r="CL94" s="22">
        <f>SUM(CL81:CL93)</f>
        <v>9119</v>
      </c>
      <c r="CM94" s="12"/>
      <c r="CN94" s="53"/>
      <c r="CO94" s="31"/>
      <c r="CP94" s="53"/>
      <c r="CQ94" s="21">
        <f>SUM(CQ81:CQ93)</f>
        <v>49978284.82</v>
      </c>
      <c r="CR94" s="12"/>
      <c r="CS94" s="22">
        <f>SUM(CS81:CS93)</f>
        <v>8366</v>
      </c>
      <c r="CT94" s="12"/>
      <c r="CU94" s="53"/>
      <c r="CV94" s="31"/>
      <c r="CW94" s="53"/>
      <c r="CX94" s="21">
        <f>SUM(CX81:CX93)</f>
        <v>46346909.100000024</v>
      </c>
      <c r="CY94" s="12"/>
      <c r="CZ94" s="22">
        <f>SUM(CZ81:CZ93)</f>
        <v>7813</v>
      </c>
      <c r="DA94" s="12"/>
      <c r="DB94" s="53"/>
      <c r="DC94" s="31"/>
      <c r="DD94" s="53"/>
    </row>
    <row r="95" spans="1:108" ht="13.5" thickTop="1">
      <c r="A95" s="12"/>
      <c r="B95" s="8"/>
      <c r="C95" s="8"/>
      <c r="D95" s="9"/>
      <c r="E95" s="8"/>
      <c r="F95" s="10"/>
      <c r="G95" s="8"/>
      <c r="H95" s="8"/>
      <c r="I95" s="8"/>
      <c r="J95" s="9"/>
      <c r="K95" s="8"/>
      <c r="L95" s="10"/>
      <c r="M95" s="8"/>
      <c r="N95" s="54"/>
      <c r="O95" s="55"/>
      <c r="P95" s="54"/>
      <c r="Q95" s="8"/>
      <c r="R95" s="9"/>
      <c r="S95" s="8"/>
      <c r="T95" s="10"/>
      <c r="U95" s="8"/>
      <c r="V95" s="54"/>
      <c r="W95" s="55"/>
      <c r="X95" s="54"/>
      <c r="Y95" s="9"/>
      <c r="Z95" s="8"/>
      <c r="AA95" s="10"/>
      <c r="AB95" s="8"/>
      <c r="AC95" s="54"/>
      <c r="AD95" s="55"/>
      <c r="AE95" s="54"/>
      <c r="AF95" s="9"/>
      <c r="AG95" s="8"/>
      <c r="AH95" s="10"/>
      <c r="AI95" s="8"/>
      <c r="AJ95" s="54"/>
      <c r="AK95" s="55"/>
      <c r="AL95" s="54"/>
      <c r="AM95" s="9"/>
      <c r="AN95" s="8"/>
      <c r="AO95" s="10"/>
      <c r="AP95" s="8"/>
      <c r="AQ95" s="54"/>
      <c r="AR95" s="55"/>
      <c r="AS95" s="54"/>
      <c r="AT95" s="9"/>
      <c r="AU95" s="8"/>
      <c r="AV95" s="10"/>
      <c r="AW95" s="8"/>
      <c r="AX95" s="54"/>
      <c r="AY95" s="55"/>
      <c r="AZ95" s="54"/>
      <c r="BA95" s="9"/>
      <c r="BB95" s="8"/>
      <c r="BC95" s="10"/>
      <c r="BD95" s="8"/>
      <c r="BE95" s="54"/>
      <c r="BF95" s="55"/>
      <c r="BG95" s="54"/>
      <c r="BH95" s="9"/>
      <c r="BI95" s="8"/>
      <c r="BJ95" s="10"/>
      <c r="BK95" s="8"/>
      <c r="BL95" s="54"/>
      <c r="BM95" s="55"/>
      <c r="BN95" s="54"/>
      <c r="BO95" s="9"/>
      <c r="BP95" s="8"/>
      <c r="BQ95" s="10"/>
      <c r="BR95" s="8"/>
      <c r="BS95" s="54"/>
      <c r="BT95" s="55"/>
      <c r="BU95" s="54"/>
      <c r="BV95" s="9"/>
      <c r="BW95" s="8"/>
      <c r="BX95" s="10"/>
      <c r="BY95" s="8"/>
      <c r="BZ95" s="54"/>
      <c r="CA95" s="55"/>
      <c r="CB95" s="54"/>
      <c r="CC95" s="9"/>
      <c r="CD95" s="8"/>
      <c r="CE95" s="10"/>
      <c r="CF95" s="8"/>
      <c r="CG95" s="54"/>
      <c r="CH95" s="55"/>
      <c r="CI95" s="54"/>
      <c r="CJ95" s="9"/>
      <c r="CK95" s="8"/>
      <c r="CL95" s="10"/>
      <c r="CM95" s="8"/>
      <c r="CN95" s="54"/>
      <c r="CO95" s="55"/>
      <c r="CP95" s="54"/>
      <c r="CQ95" s="9"/>
      <c r="CR95" s="8"/>
      <c r="CS95" s="10"/>
      <c r="CT95" s="8"/>
      <c r="CU95" s="54"/>
      <c r="CV95" s="55"/>
      <c r="CW95" s="54"/>
      <c r="CX95" s="9"/>
      <c r="CY95" s="8"/>
      <c r="CZ95" s="10"/>
      <c r="DA95" s="8"/>
      <c r="DB95" s="54"/>
      <c r="DC95" s="55"/>
      <c r="DD95" s="54"/>
    </row>
    <row r="96" spans="1:108" ht="12.75">
      <c r="A96" s="8"/>
      <c r="B96" s="8"/>
      <c r="C96" s="8"/>
      <c r="D96" s="9"/>
      <c r="E96" s="8"/>
      <c r="F96" s="10"/>
      <c r="G96" s="8"/>
      <c r="H96" s="8"/>
      <c r="I96" s="8"/>
      <c r="J96" s="8"/>
      <c r="K96" s="8"/>
      <c r="L96" s="8"/>
      <c r="M96" s="9"/>
      <c r="N96" s="8"/>
      <c r="O96" s="10"/>
      <c r="P96" s="8"/>
      <c r="Q96" s="8"/>
      <c r="R96" s="8"/>
      <c r="S96" s="8"/>
      <c r="T96" s="8"/>
      <c r="U96" s="9"/>
      <c r="V96" s="8"/>
      <c r="W96" s="10"/>
      <c r="X96" s="8"/>
      <c r="Y96" s="8"/>
      <c r="Z96" s="8"/>
      <c r="AA96" s="8"/>
      <c r="AB96" s="9"/>
      <c r="AC96" s="8"/>
      <c r="AD96" s="10"/>
      <c r="AE96" s="8"/>
      <c r="AF96" s="8"/>
      <c r="AG96" s="8"/>
      <c r="AH96" s="8"/>
      <c r="AI96" s="9"/>
      <c r="AJ96" s="8"/>
      <c r="AK96" s="10"/>
      <c r="AL96" s="8"/>
      <c r="AM96" s="8"/>
      <c r="AN96" s="8"/>
      <c r="AO96" s="8"/>
      <c r="AP96" s="9"/>
      <c r="AQ96" s="8"/>
      <c r="AR96" s="10"/>
      <c r="AS96" s="8"/>
      <c r="AT96" s="8"/>
      <c r="AU96" s="8"/>
      <c r="AV96" s="8"/>
      <c r="AW96" s="9"/>
      <c r="AX96" s="8"/>
      <c r="AY96" s="10"/>
      <c r="AZ96" s="8"/>
      <c r="BA96" s="8"/>
      <c r="BB96" s="8"/>
      <c r="BC96" s="8"/>
      <c r="BD96" s="9"/>
      <c r="BE96" s="8"/>
      <c r="BF96" s="10"/>
      <c r="BG96" s="8"/>
      <c r="BH96" s="8"/>
      <c r="BI96" s="8"/>
      <c r="BJ96" s="8"/>
      <c r="BK96" s="9"/>
      <c r="BL96" s="8"/>
      <c r="BM96" s="10"/>
      <c r="BN96" s="8"/>
      <c r="BO96" s="8"/>
      <c r="BP96" s="8"/>
      <c r="BQ96" s="8"/>
      <c r="BR96" s="9"/>
      <c r="BS96" s="8"/>
      <c r="BT96" s="10"/>
      <c r="BU96" s="8"/>
      <c r="BV96" s="8"/>
      <c r="BW96" s="8"/>
      <c r="BX96" s="8"/>
      <c r="BY96" s="9"/>
      <c r="BZ96" s="8"/>
      <c r="CA96" s="10"/>
      <c r="CB96" s="8"/>
      <c r="CC96" s="8"/>
      <c r="CD96" s="8"/>
      <c r="CE96" s="8"/>
      <c r="CF96" s="9"/>
      <c r="CG96" s="8"/>
      <c r="CH96" s="10"/>
      <c r="CI96" s="8"/>
      <c r="CJ96" s="8"/>
      <c r="CK96" s="8"/>
      <c r="CL96" s="8"/>
      <c r="CM96" s="9"/>
      <c r="CN96" s="8"/>
      <c r="CO96" s="10"/>
      <c r="CP96" s="8"/>
      <c r="CQ96" s="8"/>
      <c r="CR96" s="8"/>
      <c r="CS96" s="8"/>
      <c r="CT96" s="9"/>
      <c r="CU96" s="8"/>
      <c r="CV96" s="10"/>
      <c r="CW96" s="8"/>
      <c r="CX96" s="8"/>
      <c r="CY96" s="8"/>
      <c r="CZ96" s="8"/>
      <c r="DA96" s="9"/>
      <c r="DB96" s="8"/>
      <c r="DC96" s="10"/>
      <c r="DD96" s="8"/>
    </row>
    <row r="97" spans="1:108" ht="12.75">
      <c r="A97" s="19" t="s">
        <v>115</v>
      </c>
      <c r="B97" s="8"/>
      <c r="C97" s="8"/>
      <c r="D97" s="8"/>
      <c r="E97" s="10"/>
      <c r="F97" s="8"/>
      <c r="G97" s="10"/>
      <c r="H97" s="8"/>
      <c r="I97" s="8"/>
      <c r="J97" s="19" t="s">
        <v>115</v>
      </c>
      <c r="K97" s="8"/>
      <c r="L97" s="8"/>
      <c r="M97" s="8"/>
      <c r="N97" s="10"/>
      <c r="O97" s="8"/>
      <c r="P97" s="10"/>
      <c r="Q97" s="8"/>
      <c r="R97" s="19" t="s">
        <v>115</v>
      </c>
      <c r="S97" s="8"/>
      <c r="T97" s="8"/>
      <c r="U97" s="8"/>
      <c r="V97" s="10"/>
      <c r="W97" s="8"/>
      <c r="X97" s="10"/>
      <c r="Y97" s="19" t="s">
        <v>115</v>
      </c>
      <c r="Z97" s="8"/>
      <c r="AA97" s="8"/>
      <c r="AB97" s="8"/>
      <c r="AC97" s="10"/>
      <c r="AD97" s="8"/>
      <c r="AE97" s="10"/>
      <c r="AF97" s="19" t="s">
        <v>115</v>
      </c>
      <c r="AG97" s="8"/>
      <c r="AH97" s="8"/>
      <c r="AI97" s="8"/>
      <c r="AJ97" s="10"/>
      <c r="AK97" s="8"/>
      <c r="AL97" s="10"/>
      <c r="AM97" s="19" t="s">
        <v>115</v>
      </c>
      <c r="AN97" s="8"/>
      <c r="AO97" s="8"/>
      <c r="AP97" s="8"/>
      <c r="AQ97" s="10"/>
      <c r="AR97" s="8"/>
      <c r="AS97" s="10"/>
      <c r="AT97" s="19" t="s">
        <v>115</v>
      </c>
      <c r="AU97" s="8"/>
      <c r="AV97" s="8"/>
      <c r="AW97" s="8"/>
      <c r="AX97" s="10"/>
      <c r="AY97" s="8"/>
      <c r="AZ97" s="10"/>
      <c r="BA97" s="19" t="s">
        <v>115</v>
      </c>
      <c r="BB97" s="8"/>
      <c r="BC97" s="8"/>
      <c r="BD97" s="8"/>
      <c r="BE97" s="10"/>
      <c r="BF97" s="8"/>
      <c r="BG97" s="10"/>
      <c r="BH97" s="19" t="s">
        <v>115</v>
      </c>
      <c r="BI97" s="8"/>
      <c r="BJ97" s="8"/>
      <c r="BK97" s="8"/>
      <c r="BL97" s="10"/>
      <c r="BM97" s="8"/>
      <c r="BN97" s="10"/>
      <c r="BO97" s="19" t="s">
        <v>115</v>
      </c>
      <c r="BP97" s="8"/>
      <c r="BQ97" s="8"/>
      <c r="BR97" s="8"/>
      <c r="BS97" s="10"/>
      <c r="BT97" s="8"/>
      <c r="BU97" s="10"/>
      <c r="BV97" s="19" t="s">
        <v>115</v>
      </c>
      <c r="BW97" s="8"/>
      <c r="BX97" s="8"/>
      <c r="BY97" s="8"/>
      <c r="BZ97" s="10"/>
      <c r="CA97" s="8"/>
      <c r="CB97" s="10"/>
      <c r="CC97" s="19" t="s">
        <v>115</v>
      </c>
      <c r="CD97" s="8"/>
      <c r="CE97" s="8"/>
      <c r="CF97" s="8"/>
      <c r="CG97" s="10"/>
      <c r="CH97" s="8"/>
      <c r="CI97" s="10"/>
      <c r="CJ97" s="19" t="s">
        <v>115</v>
      </c>
      <c r="CK97" s="8"/>
      <c r="CL97" s="8"/>
      <c r="CM97" s="8"/>
      <c r="CN97" s="10"/>
      <c r="CO97" s="8"/>
      <c r="CP97" s="10"/>
      <c r="CQ97" s="19" t="s">
        <v>115</v>
      </c>
      <c r="CR97" s="8"/>
      <c r="CS97" s="8"/>
      <c r="CT97" s="8"/>
      <c r="CU97" s="10"/>
      <c r="CV97" s="8"/>
      <c r="CW97" s="10"/>
      <c r="CX97" s="19" t="s">
        <v>115</v>
      </c>
      <c r="CY97" s="8"/>
      <c r="CZ97" s="8"/>
      <c r="DA97" s="8"/>
      <c r="DB97" s="10"/>
      <c r="DC97" s="8"/>
      <c r="DD97" s="10"/>
    </row>
    <row r="98" spans="1:108" ht="12.75">
      <c r="A98" s="19"/>
      <c r="B98" s="8"/>
      <c r="C98" s="8"/>
      <c r="D98" s="8"/>
      <c r="E98" s="10"/>
      <c r="F98" s="8"/>
      <c r="G98" s="10"/>
      <c r="H98" s="8"/>
      <c r="I98" s="8"/>
      <c r="J98" s="19"/>
      <c r="K98" s="8"/>
      <c r="L98" s="8"/>
      <c r="M98" s="8"/>
      <c r="N98" s="10"/>
      <c r="O98" s="8"/>
      <c r="P98" s="10"/>
      <c r="Q98" s="8"/>
      <c r="R98" s="19"/>
      <c r="S98" s="8"/>
      <c r="T98" s="8"/>
      <c r="U98" s="8"/>
      <c r="V98" s="10"/>
      <c r="W98" s="8"/>
      <c r="X98" s="10"/>
      <c r="Y98" s="19"/>
      <c r="Z98" s="8"/>
      <c r="AA98" s="8"/>
      <c r="AB98" s="8"/>
      <c r="AC98" s="10"/>
      <c r="AD98" s="8"/>
      <c r="AE98" s="10"/>
      <c r="AF98" s="19"/>
      <c r="AG98" s="8"/>
      <c r="AH98" s="8"/>
      <c r="AI98" s="8"/>
      <c r="AJ98" s="10"/>
      <c r="AK98" s="8"/>
      <c r="AL98" s="10"/>
      <c r="AM98" s="19"/>
      <c r="AN98" s="8"/>
      <c r="AO98" s="8"/>
      <c r="AP98" s="8"/>
      <c r="AQ98" s="10"/>
      <c r="AR98" s="8"/>
      <c r="AS98" s="10"/>
      <c r="AT98" s="19"/>
      <c r="AU98" s="8"/>
      <c r="AV98" s="8"/>
      <c r="AW98" s="8"/>
      <c r="AX98" s="10"/>
      <c r="AY98" s="8"/>
      <c r="AZ98" s="10"/>
      <c r="BA98" s="19"/>
      <c r="BB98" s="8"/>
      <c r="BC98" s="8"/>
      <c r="BD98" s="8"/>
      <c r="BE98" s="10"/>
      <c r="BF98" s="8"/>
      <c r="BG98" s="10"/>
      <c r="BH98" s="19"/>
      <c r="BI98" s="8"/>
      <c r="BJ98" s="8"/>
      <c r="BK98" s="8"/>
      <c r="BL98" s="10"/>
      <c r="BM98" s="8"/>
      <c r="BN98" s="10"/>
      <c r="BO98" s="19"/>
      <c r="BP98" s="8"/>
      <c r="BQ98" s="8"/>
      <c r="BR98" s="8"/>
      <c r="BS98" s="10"/>
      <c r="BT98" s="8"/>
      <c r="BU98" s="10"/>
      <c r="BV98" s="19"/>
      <c r="BW98" s="8"/>
      <c r="BX98" s="8"/>
      <c r="BY98" s="8"/>
      <c r="BZ98" s="10"/>
      <c r="CA98" s="8"/>
      <c r="CB98" s="10"/>
      <c r="CC98" s="19"/>
      <c r="CD98" s="8"/>
      <c r="CE98" s="8"/>
      <c r="CF98" s="8"/>
      <c r="CG98" s="10"/>
      <c r="CH98" s="8"/>
      <c r="CI98" s="10"/>
      <c r="CJ98" s="19"/>
      <c r="CK98" s="8"/>
      <c r="CL98" s="8"/>
      <c r="CM98" s="8"/>
      <c r="CN98" s="10"/>
      <c r="CO98" s="8"/>
      <c r="CP98" s="10"/>
      <c r="CQ98" s="19"/>
      <c r="CR98" s="8"/>
      <c r="CS98" s="8"/>
      <c r="CT98" s="8"/>
      <c r="CU98" s="10"/>
      <c r="CV98" s="8"/>
      <c r="CW98" s="10"/>
      <c r="CX98" s="19"/>
      <c r="CY98" s="8"/>
      <c r="CZ98" s="8"/>
      <c r="DA98" s="8"/>
      <c r="DB98" s="10"/>
      <c r="DC98" s="8"/>
      <c r="DD98" s="10"/>
    </row>
    <row r="99" spans="1:108" s="29" customFormat="1" ht="12.75">
      <c r="A99" s="25"/>
      <c r="B99" s="26"/>
      <c r="C99" s="26"/>
      <c r="D99" s="27" t="s">
        <v>99</v>
      </c>
      <c r="E99" s="26" t="s">
        <v>100</v>
      </c>
      <c r="F99" s="28" t="s">
        <v>101</v>
      </c>
      <c r="G99" s="26" t="s">
        <v>100</v>
      </c>
      <c r="H99" s="25"/>
      <c r="I99" s="25"/>
      <c r="J99" s="27" t="s">
        <v>99</v>
      </c>
      <c r="K99" s="26" t="s">
        <v>100</v>
      </c>
      <c r="L99" s="28" t="s">
        <v>101</v>
      </c>
      <c r="M99" s="26" t="s">
        <v>100</v>
      </c>
      <c r="N99" s="64"/>
      <c r="O99" s="65"/>
      <c r="P99" s="64"/>
      <c r="Q99" s="8"/>
      <c r="R99" s="27" t="s">
        <v>99</v>
      </c>
      <c r="S99" s="26" t="s">
        <v>100</v>
      </c>
      <c r="T99" s="28" t="s">
        <v>101</v>
      </c>
      <c r="U99" s="44" t="s">
        <v>100</v>
      </c>
      <c r="V99" s="64"/>
      <c r="W99" s="65"/>
      <c r="X99" s="64"/>
      <c r="Y99" s="27" t="s">
        <v>99</v>
      </c>
      <c r="Z99" s="26" t="s">
        <v>100</v>
      </c>
      <c r="AA99" s="28" t="s">
        <v>101</v>
      </c>
      <c r="AB99" s="44" t="s">
        <v>100</v>
      </c>
      <c r="AC99" s="64"/>
      <c r="AD99" s="65"/>
      <c r="AE99" s="64"/>
      <c r="AF99" s="27" t="s">
        <v>99</v>
      </c>
      <c r="AG99" s="26" t="s">
        <v>100</v>
      </c>
      <c r="AH99" s="28" t="s">
        <v>101</v>
      </c>
      <c r="AI99" s="44" t="s">
        <v>100</v>
      </c>
      <c r="AJ99" s="64"/>
      <c r="AK99" s="65"/>
      <c r="AL99" s="64"/>
      <c r="AM99" s="27" t="s">
        <v>99</v>
      </c>
      <c r="AN99" s="26" t="s">
        <v>100</v>
      </c>
      <c r="AO99" s="28" t="s">
        <v>101</v>
      </c>
      <c r="AP99" s="44" t="s">
        <v>100</v>
      </c>
      <c r="AQ99" s="64"/>
      <c r="AR99" s="65"/>
      <c r="AS99" s="64"/>
      <c r="AT99" s="27" t="s">
        <v>99</v>
      </c>
      <c r="AU99" s="26" t="s">
        <v>100</v>
      </c>
      <c r="AV99" s="28" t="s">
        <v>101</v>
      </c>
      <c r="AW99" s="44" t="s">
        <v>100</v>
      </c>
      <c r="AX99" s="64"/>
      <c r="AY99" s="65"/>
      <c r="AZ99" s="64"/>
      <c r="BA99" s="89" t="s">
        <v>99</v>
      </c>
      <c r="BB99" s="44" t="s">
        <v>100</v>
      </c>
      <c r="BC99" s="88" t="s">
        <v>101</v>
      </c>
      <c r="BD99" s="44" t="s">
        <v>100</v>
      </c>
      <c r="BE99" s="64"/>
      <c r="BF99" s="65"/>
      <c r="BG99" s="64"/>
      <c r="BH99" s="89" t="s">
        <v>99</v>
      </c>
      <c r="BI99" s="44" t="s">
        <v>100</v>
      </c>
      <c r="BJ99" s="88" t="s">
        <v>101</v>
      </c>
      <c r="BK99" s="44" t="s">
        <v>100</v>
      </c>
      <c r="BL99" s="64"/>
      <c r="BM99" s="65"/>
      <c r="BN99" s="64"/>
      <c r="BO99" s="89" t="s">
        <v>99</v>
      </c>
      <c r="BP99" s="44" t="s">
        <v>100</v>
      </c>
      <c r="BQ99" s="88" t="s">
        <v>101</v>
      </c>
      <c r="BR99" s="44" t="s">
        <v>100</v>
      </c>
      <c r="BS99" s="64"/>
      <c r="BT99" s="65"/>
      <c r="BU99" s="64"/>
      <c r="BV99" s="89" t="s">
        <v>99</v>
      </c>
      <c r="BW99" s="44" t="s">
        <v>100</v>
      </c>
      <c r="BX99" s="88" t="s">
        <v>101</v>
      </c>
      <c r="BY99" s="44" t="s">
        <v>100</v>
      </c>
      <c r="BZ99" s="64"/>
      <c r="CA99" s="65"/>
      <c r="CB99" s="64"/>
      <c r="CC99" s="89" t="s">
        <v>99</v>
      </c>
      <c r="CD99" s="44" t="s">
        <v>100</v>
      </c>
      <c r="CE99" s="88" t="s">
        <v>101</v>
      </c>
      <c r="CF99" s="44" t="s">
        <v>100</v>
      </c>
      <c r="CG99" s="64"/>
      <c r="CH99" s="65"/>
      <c r="CI99" s="64"/>
      <c r="CJ99" s="89" t="s">
        <v>99</v>
      </c>
      <c r="CK99" s="44" t="s">
        <v>100</v>
      </c>
      <c r="CL99" s="88" t="s">
        <v>101</v>
      </c>
      <c r="CM99" s="44" t="s">
        <v>100</v>
      </c>
      <c r="CN99" s="64"/>
      <c r="CO99" s="65"/>
      <c r="CP99" s="64"/>
      <c r="CQ99" s="89" t="s">
        <v>99</v>
      </c>
      <c r="CR99" s="44" t="s">
        <v>100</v>
      </c>
      <c r="CS99" s="88" t="s">
        <v>101</v>
      </c>
      <c r="CT99" s="44" t="s">
        <v>100</v>
      </c>
      <c r="CU99" s="64"/>
      <c r="CV99" s="65"/>
      <c r="CW99" s="64"/>
      <c r="CX99" s="89" t="s">
        <v>99</v>
      </c>
      <c r="CY99" s="44" t="s">
        <v>100</v>
      </c>
      <c r="CZ99" s="88" t="s">
        <v>101</v>
      </c>
      <c r="DA99" s="44" t="s">
        <v>100</v>
      </c>
      <c r="DB99" s="64"/>
      <c r="DC99" s="65"/>
      <c r="DD99" s="64"/>
    </row>
    <row r="100" spans="1:108" s="29" customFormat="1" ht="12.75">
      <c r="A100" s="26"/>
      <c r="B100" s="25"/>
      <c r="C100" s="25"/>
      <c r="D100" s="38"/>
      <c r="E100" s="25"/>
      <c r="F100" s="38"/>
      <c r="G100" s="25"/>
      <c r="H100" s="25"/>
      <c r="I100" s="25"/>
      <c r="J100" s="10"/>
      <c r="K100" s="8"/>
      <c r="L100" s="10"/>
      <c r="M100" s="8"/>
      <c r="N100" s="54"/>
      <c r="O100" s="55"/>
      <c r="P100" s="54"/>
      <c r="Q100" s="8"/>
      <c r="R100" s="10"/>
      <c r="S100" s="8"/>
      <c r="T100" s="10"/>
      <c r="U100" s="8"/>
      <c r="V100" s="54"/>
      <c r="W100" s="55"/>
      <c r="X100" s="54"/>
      <c r="Y100" s="10"/>
      <c r="Z100" s="8"/>
      <c r="AA100" s="10"/>
      <c r="AB100" s="8"/>
      <c r="AC100" s="54"/>
      <c r="AD100" s="55"/>
      <c r="AE100" s="54"/>
      <c r="AF100" s="10"/>
      <c r="AG100" s="8"/>
      <c r="AH100" s="10"/>
      <c r="AI100" s="8"/>
      <c r="AJ100" s="54"/>
      <c r="AK100" s="55"/>
      <c r="AL100" s="54"/>
      <c r="AM100" s="10"/>
      <c r="AN100" s="8"/>
      <c r="AO100" s="10"/>
      <c r="AP100" s="8"/>
      <c r="AQ100" s="54"/>
      <c r="AR100" s="55"/>
      <c r="AS100" s="54"/>
      <c r="AT100" s="10"/>
      <c r="AU100" s="8"/>
      <c r="AV100" s="10"/>
      <c r="AW100" s="8"/>
      <c r="AX100" s="54"/>
      <c r="AY100" s="55"/>
      <c r="AZ100" s="54"/>
      <c r="BA100" s="10"/>
      <c r="BB100" s="8"/>
      <c r="BC100" s="10"/>
      <c r="BD100" s="8"/>
      <c r="BE100" s="54"/>
      <c r="BF100" s="55"/>
      <c r="BG100" s="54"/>
      <c r="BH100" s="10"/>
      <c r="BI100" s="8"/>
      <c r="BJ100" s="10"/>
      <c r="BK100" s="8"/>
      <c r="BL100" s="54"/>
      <c r="BM100" s="55"/>
      <c r="BN100" s="54"/>
      <c r="BO100" s="10"/>
      <c r="BP100" s="8"/>
      <c r="BQ100" s="10"/>
      <c r="BR100" s="8"/>
      <c r="BS100" s="54"/>
      <c r="BT100" s="55"/>
      <c r="BU100" s="54"/>
      <c r="BV100" s="10"/>
      <c r="BW100" s="8"/>
      <c r="BX100" s="10"/>
      <c r="BY100" s="8"/>
      <c r="BZ100" s="54"/>
      <c r="CA100" s="55"/>
      <c r="CB100" s="54"/>
      <c r="CC100" s="10"/>
      <c r="CD100" s="8"/>
      <c r="CE100" s="10"/>
      <c r="CF100" s="8"/>
      <c r="CG100" s="54"/>
      <c r="CH100" s="55"/>
      <c r="CI100" s="54"/>
      <c r="CJ100" s="10"/>
      <c r="CK100" s="8"/>
      <c r="CL100" s="10"/>
      <c r="CM100" s="8"/>
      <c r="CN100" s="54"/>
      <c r="CO100" s="55"/>
      <c r="CP100" s="54"/>
      <c r="CQ100" s="10"/>
      <c r="CR100" s="8"/>
      <c r="CS100" s="10"/>
      <c r="CT100" s="8"/>
      <c r="CU100" s="54"/>
      <c r="CV100" s="55"/>
      <c r="CW100" s="54"/>
      <c r="CX100" s="10"/>
      <c r="CY100" s="8"/>
      <c r="CZ100" s="10"/>
      <c r="DA100" s="8"/>
      <c r="DB100" s="54"/>
      <c r="DC100" s="55"/>
      <c r="DD100" s="54"/>
    </row>
    <row r="101" spans="1:108" ht="12.75">
      <c r="A101" s="24">
        <v>1996</v>
      </c>
      <c r="B101" s="8"/>
      <c r="C101" s="8"/>
      <c r="D101" s="9">
        <v>948610.3</v>
      </c>
      <c r="E101" s="14">
        <f>+D101/D110</f>
        <v>0.010377622942370901</v>
      </c>
      <c r="F101" s="10">
        <v>476</v>
      </c>
      <c r="G101" s="14">
        <f>+F101/F110</f>
        <v>0.025068464293237835</v>
      </c>
      <c r="H101" s="8"/>
      <c r="I101" s="8"/>
      <c r="J101" s="9">
        <v>797899.34</v>
      </c>
      <c r="K101" s="14">
        <f>+J101/J110</f>
        <v>0.009588485053771672</v>
      </c>
      <c r="L101" s="10">
        <v>303</v>
      </c>
      <c r="M101" s="14">
        <f>+L101/L110</f>
        <v>0.019953901876852156</v>
      </c>
      <c r="N101" s="56"/>
      <c r="O101" s="55"/>
      <c r="P101" s="56"/>
      <c r="Q101" s="8"/>
      <c r="R101" s="9">
        <v>722458.44</v>
      </c>
      <c r="S101" s="14">
        <v>0.009198070845372901</v>
      </c>
      <c r="T101" s="10">
        <v>209</v>
      </c>
      <c r="U101" s="14">
        <v>0.014547226282452844</v>
      </c>
      <c r="V101" s="56"/>
      <c r="W101" s="55"/>
      <c r="X101" s="56"/>
      <c r="Y101" s="9">
        <v>676254.88</v>
      </c>
      <c r="Z101" s="14">
        <v>0.008358768637600293</v>
      </c>
      <c r="AA101" s="10">
        <v>179</v>
      </c>
      <c r="AB101" s="14">
        <v>0.012319339298004129</v>
      </c>
      <c r="AC101" s="56"/>
      <c r="AD101" s="55"/>
      <c r="AE101" s="56"/>
      <c r="AF101" s="9">
        <v>670760.91</v>
      </c>
      <c r="AG101" s="14">
        <v>0.008354801931178482</v>
      </c>
      <c r="AH101" s="10">
        <v>287</v>
      </c>
      <c r="AI101" s="14">
        <v>0.020199887387387386</v>
      </c>
      <c r="AJ101" s="56"/>
      <c r="AK101" s="55"/>
      <c r="AL101" s="56"/>
      <c r="AM101" s="9">
        <v>635743.3</v>
      </c>
      <c r="AN101" s="14">
        <v>0.0077880437803185525</v>
      </c>
      <c r="AO101" s="10">
        <v>161</v>
      </c>
      <c r="AP101" s="14">
        <v>0.011372465917920464</v>
      </c>
      <c r="AQ101" s="56"/>
      <c r="AR101" s="55"/>
      <c r="AS101" s="56"/>
      <c r="AT101" s="9">
        <v>618932.38</v>
      </c>
      <c r="AU101" s="14">
        <v>0.007701526267283949</v>
      </c>
      <c r="AV101" s="10">
        <v>151</v>
      </c>
      <c r="AW101" s="14">
        <v>0.01095473012188044</v>
      </c>
      <c r="AX101" s="56"/>
      <c r="AY101" s="55"/>
      <c r="AZ101" s="56"/>
      <c r="BA101" s="9">
        <v>613285.97</v>
      </c>
      <c r="BB101" s="14">
        <v>0.007352179439907421</v>
      </c>
      <c r="BC101" s="10">
        <v>151</v>
      </c>
      <c r="BD101" s="14">
        <v>0.010784943932576245</v>
      </c>
      <c r="BE101" s="56"/>
      <c r="BF101" s="55"/>
      <c r="BG101" s="56"/>
      <c r="BH101" s="9">
        <v>596166.02</v>
      </c>
      <c r="BI101" s="14">
        <v>0.007817318996795155</v>
      </c>
      <c r="BJ101" s="10">
        <v>146</v>
      </c>
      <c r="BK101" s="14">
        <v>0.01189991034314125</v>
      </c>
      <c r="BL101" s="56"/>
      <c r="BM101" s="55"/>
      <c r="BN101" s="56"/>
      <c r="BO101" s="9">
        <v>590679.32</v>
      </c>
      <c r="BP101" s="14">
        <v>0.008437385311035665</v>
      </c>
      <c r="BQ101" s="10">
        <v>146</v>
      </c>
      <c r="BR101" s="14">
        <v>0.012871374415939345</v>
      </c>
      <c r="BS101" s="56"/>
      <c r="BT101" s="55"/>
      <c r="BU101" s="56"/>
      <c r="BV101" s="9">
        <v>580328.84</v>
      </c>
      <c r="BW101" s="14">
        <v>0.009048714570839791</v>
      </c>
      <c r="BX101" s="10">
        <v>143</v>
      </c>
      <c r="BY101" s="14">
        <v>0.013609974302845721</v>
      </c>
      <c r="BZ101" s="56"/>
      <c r="CA101" s="55"/>
      <c r="CB101" s="56"/>
      <c r="CC101" s="9">
        <v>562587.68</v>
      </c>
      <c r="CD101" s="14">
        <v>0.009512296883685491</v>
      </c>
      <c r="CE101" s="10">
        <v>140</v>
      </c>
      <c r="CF101" s="14">
        <v>0.014237770771890573</v>
      </c>
      <c r="CG101" s="56"/>
      <c r="CH101" s="55"/>
      <c r="CI101" s="56"/>
      <c r="CJ101" s="9">
        <v>551341.31</v>
      </c>
      <c r="CK101" s="14">
        <v>0.010136437253778684</v>
      </c>
      <c r="CL101" s="10">
        <v>135</v>
      </c>
      <c r="CM101" s="14">
        <v>0.014805878482123273</v>
      </c>
      <c r="CN101" s="56"/>
      <c r="CO101" s="55"/>
      <c r="CP101" s="56"/>
      <c r="CQ101" s="9">
        <v>521447.75</v>
      </c>
      <c r="CR101" s="14">
        <v>0.010433486300660924</v>
      </c>
      <c r="CS101" s="10">
        <v>129</v>
      </c>
      <c r="CT101" s="14">
        <v>0.015419555343055223</v>
      </c>
      <c r="CU101" s="56"/>
      <c r="CV101" s="55"/>
      <c r="CW101" s="56"/>
      <c r="CX101" s="9">
        <v>518093.43</v>
      </c>
      <c r="CY101" s="14">
        <v>0.011178597236811196</v>
      </c>
      <c r="CZ101" s="10">
        <v>128</v>
      </c>
      <c r="DA101" s="14">
        <v>0.01638295149110457</v>
      </c>
      <c r="DB101" s="56"/>
      <c r="DC101" s="55"/>
      <c r="DD101" s="56"/>
    </row>
    <row r="102" spans="1:108" ht="12.75">
      <c r="A102" s="24">
        <v>1997</v>
      </c>
      <c r="B102" s="8"/>
      <c r="C102" s="8"/>
      <c r="D102" s="9">
        <v>7427156.48000001</v>
      </c>
      <c r="E102" s="14">
        <f>+D102/$D$110</f>
        <v>0.08125173159455132</v>
      </c>
      <c r="F102" s="10">
        <v>2915</v>
      </c>
      <c r="G102" s="14">
        <f>+F102/$F$110</f>
        <v>0.15351801137560564</v>
      </c>
      <c r="H102" s="8"/>
      <c r="I102" s="8"/>
      <c r="J102" s="9">
        <v>6544039.769999998</v>
      </c>
      <c r="K102" s="14">
        <f>+J102/$J$110</f>
        <v>0.07864078133706989</v>
      </c>
      <c r="L102" s="10">
        <v>2212</v>
      </c>
      <c r="M102" s="14">
        <f>+L102/$L$110</f>
        <v>0.14567006914718472</v>
      </c>
      <c r="N102" s="56"/>
      <c r="O102" s="55"/>
      <c r="P102" s="56"/>
      <c r="Q102" s="8"/>
      <c r="R102" s="9">
        <v>5717244.920000016</v>
      </c>
      <c r="S102" s="14">
        <v>0.07278982554970007</v>
      </c>
      <c r="T102" s="10">
        <v>1986</v>
      </c>
      <c r="U102" s="14">
        <v>0.1382334516600543</v>
      </c>
      <c r="V102" s="56"/>
      <c r="W102" s="55"/>
      <c r="X102" s="56"/>
      <c r="Y102" s="9">
        <v>5060900.95</v>
      </c>
      <c r="Z102" s="14">
        <v>0.06255466894207333</v>
      </c>
      <c r="AA102" s="10">
        <v>1808</v>
      </c>
      <c r="AB102" s="14">
        <v>0.1244322092222987</v>
      </c>
      <c r="AC102" s="56"/>
      <c r="AD102" s="55"/>
      <c r="AE102" s="56"/>
      <c r="AF102" s="9">
        <v>4471555.47</v>
      </c>
      <c r="AG102" s="14">
        <v>0.055696388562845284</v>
      </c>
      <c r="AH102" s="10">
        <v>1587</v>
      </c>
      <c r="AI102" s="14">
        <v>0.11169763513513513</v>
      </c>
      <c r="AJ102" s="56"/>
      <c r="AK102" s="55"/>
      <c r="AL102" s="56"/>
      <c r="AM102" s="9">
        <v>4048548.04</v>
      </c>
      <c r="AN102" s="14">
        <v>0.04959591297657859</v>
      </c>
      <c r="AO102" s="10">
        <v>1295</v>
      </c>
      <c r="AP102" s="14">
        <v>0.09147418238327329</v>
      </c>
      <c r="AQ102" s="56"/>
      <c r="AR102" s="55"/>
      <c r="AS102" s="56"/>
      <c r="AT102" s="9">
        <v>3810642.61</v>
      </c>
      <c r="AU102" s="14">
        <v>0.04741675359777829</v>
      </c>
      <c r="AV102" s="10">
        <v>1027</v>
      </c>
      <c r="AW102" s="14">
        <v>0.07450667440510737</v>
      </c>
      <c r="AX102" s="56"/>
      <c r="AY102" s="55"/>
      <c r="AZ102" s="56"/>
      <c r="BA102" s="9">
        <v>3662952.63</v>
      </c>
      <c r="BB102" s="14">
        <v>0.0439121165867219</v>
      </c>
      <c r="BC102" s="10">
        <v>909</v>
      </c>
      <c r="BD102" s="14">
        <v>0.06492393400471395</v>
      </c>
      <c r="BE102" s="56"/>
      <c r="BF102" s="55"/>
      <c r="BG102" s="56"/>
      <c r="BH102" s="9">
        <v>3540357.48</v>
      </c>
      <c r="BI102" s="14">
        <v>0.04642348415605749</v>
      </c>
      <c r="BJ102" s="10">
        <v>850</v>
      </c>
      <c r="BK102" s="14">
        <v>0.06928029994294564</v>
      </c>
      <c r="BL102" s="56"/>
      <c r="BM102" s="55"/>
      <c r="BN102" s="56"/>
      <c r="BO102" s="9">
        <v>3453382.71</v>
      </c>
      <c r="BP102" s="14">
        <v>0.04932883133734651</v>
      </c>
      <c r="BQ102" s="10">
        <v>816</v>
      </c>
      <c r="BR102" s="14">
        <v>0.07193864057127744</v>
      </c>
      <c r="BS102" s="56"/>
      <c r="BT102" s="55"/>
      <c r="BU102" s="56"/>
      <c r="BV102" s="9">
        <v>3327300.57</v>
      </c>
      <c r="BW102" s="14">
        <v>0.05188057369218903</v>
      </c>
      <c r="BX102" s="10">
        <v>787</v>
      </c>
      <c r="BY102" s="14">
        <v>0.07490244598838869</v>
      </c>
      <c r="BZ102" s="56"/>
      <c r="CA102" s="55"/>
      <c r="CB102" s="56"/>
      <c r="CC102" s="9">
        <v>3231668.6</v>
      </c>
      <c r="CD102" s="14">
        <v>0.05464142256525112</v>
      </c>
      <c r="CE102" s="10">
        <v>759</v>
      </c>
      <c r="CF102" s="14">
        <v>0.07718905725617818</v>
      </c>
      <c r="CG102" s="56"/>
      <c r="CH102" s="55"/>
      <c r="CI102" s="56"/>
      <c r="CJ102" s="9">
        <v>3132959.47</v>
      </c>
      <c r="CK102" s="14">
        <v>0.05759961481262259</v>
      </c>
      <c r="CL102" s="10">
        <v>741</v>
      </c>
      <c r="CM102" s="14">
        <v>0.08126782189076552</v>
      </c>
      <c r="CN102" s="56"/>
      <c r="CO102" s="55"/>
      <c r="CP102" s="56"/>
      <c r="CQ102" s="9">
        <v>3031704.4</v>
      </c>
      <c r="CR102" s="14">
        <v>0.06066043304444869</v>
      </c>
      <c r="CS102" s="10">
        <v>713</v>
      </c>
      <c r="CT102" s="14">
        <v>0.08522591441549128</v>
      </c>
      <c r="CU102" s="56"/>
      <c r="CV102" s="55"/>
      <c r="CW102" s="56"/>
      <c r="CX102" s="9">
        <v>2980204.9</v>
      </c>
      <c r="CY102" s="14">
        <v>0.06430212840234471</v>
      </c>
      <c r="CZ102" s="10">
        <v>697</v>
      </c>
      <c r="DA102" s="14">
        <v>0.08921029054140535</v>
      </c>
      <c r="DB102" s="56"/>
      <c r="DC102" s="55"/>
      <c r="DD102" s="56"/>
    </row>
    <row r="103" spans="1:108" ht="12.75">
      <c r="A103" s="24">
        <v>1998</v>
      </c>
      <c r="B103" s="8"/>
      <c r="C103" s="8"/>
      <c r="D103" s="9">
        <v>20983171.92000002</v>
      </c>
      <c r="E103" s="14">
        <f>+D103/$D$110</f>
        <v>0.22955205770030654</v>
      </c>
      <c r="F103" s="10">
        <v>5422</v>
      </c>
      <c r="G103" s="14">
        <f>+F103/$F$110</f>
        <v>0.28554876764272175</v>
      </c>
      <c r="H103" s="8"/>
      <c r="I103" s="8"/>
      <c r="J103" s="9">
        <v>18968378.75000011</v>
      </c>
      <c r="K103" s="14">
        <f>+J103/$J$110</f>
        <v>0.22794606665379152</v>
      </c>
      <c r="L103" s="10">
        <v>4164</v>
      </c>
      <c r="M103" s="14">
        <f>+L103/$L$110</f>
        <v>0.2742179782680277</v>
      </c>
      <c r="N103" s="56"/>
      <c r="O103" s="55"/>
      <c r="P103" s="56"/>
      <c r="Q103" s="8"/>
      <c r="R103" s="9">
        <v>17020779.26000003</v>
      </c>
      <c r="S103" s="14">
        <v>0.2167022001666061</v>
      </c>
      <c r="T103" s="10">
        <v>3724</v>
      </c>
      <c r="U103" s="14">
        <v>0.2592051228509779</v>
      </c>
      <c r="V103" s="56"/>
      <c r="W103" s="55"/>
      <c r="X103" s="56"/>
      <c r="Y103" s="9">
        <v>15480761.619999986</v>
      </c>
      <c r="Z103" s="14">
        <v>0.1913481270780954</v>
      </c>
      <c r="AA103" s="10">
        <v>3452</v>
      </c>
      <c r="AB103" s="14">
        <v>0.2375774260151411</v>
      </c>
      <c r="AC103" s="56"/>
      <c r="AD103" s="55"/>
      <c r="AE103" s="56"/>
      <c r="AF103" s="9">
        <v>13910020.580000045</v>
      </c>
      <c r="AG103" s="14">
        <v>0.17325915251161061</v>
      </c>
      <c r="AH103" s="10">
        <v>3200</v>
      </c>
      <c r="AI103" s="14">
        <v>0.22522522522522523</v>
      </c>
      <c r="AJ103" s="56"/>
      <c r="AK103" s="55"/>
      <c r="AL103" s="56"/>
      <c r="AM103" s="9">
        <v>12510597.180000026</v>
      </c>
      <c r="AN103" s="14">
        <v>0.15325852204147497</v>
      </c>
      <c r="AO103" s="10">
        <v>2946</v>
      </c>
      <c r="AP103" s="14">
        <v>0.20809493536766263</v>
      </c>
      <c r="AQ103" s="56"/>
      <c r="AR103" s="55"/>
      <c r="AS103" s="56"/>
      <c r="AT103" s="9">
        <v>11349357.760000018</v>
      </c>
      <c r="AU103" s="14">
        <v>0.14122282131279526</v>
      </c>
      <c r="AV103" s="10">
        <v>2708</v>
      </c>
      <c r="AW103" s="14">
        <v>0.19645966337782936</v>
      </c>
      <c r="AX103" s="56"/>
      <c r="AY103" s="55"/>
      <c r="AZ103" s="56"/>
      <c r="BA103" s="9">
        <v>10341094.870000014</v>
      </c>
      <c r="BB103" s="14">
        <v>0.12397085341663074</v>
      </c>
      <c r="BC103" s="10">
        <v>2468</v>
      </c>
      <c r="BD103" s="14">
        <v>0.17627312334833226</v>
      </c>
      <c r="BE103" s="56"/>
      <c r="BF103" s="55"/>
      <c r="BG103" s="56"/>
      <c r="BH103" s="9">
        <v>9396993.229999984</v>
      </c>
      <c r="BI103" s="14">
        <v>0.12321952480558072</v>
      </c>
      <c r="BJ103" s="10">
        <v>2138</v>
      </c>
      <c r="BK103" s="14">
        <v>0.174260330915315</v>
      </c>
      <c r="BL103" s="56"/>
      <c r="BM103" s="55"/>
      <c r="BN103" s="56"/>
      <c r="BO103" s="9">
        <v>8644508.110000022</v>
      </c>
      <c r="BP103" s="14">
        <v>0.12347993789327659</v>
      </c>
      <c r="BQ103" s="10">
        <v>1902</v>
      </c>
      <c r="BR103" s="14">
        <v>0.16768050780216873</v>
      </c>
      <c r="BS103" s="56"/>
      <c r="BT103" s="55"/>
      <c r="BU103" s="56"/>
      <c r="BV103" s="9">
        <v>8070016.030000008</v>
      </c>
      <c r="BW103" s="14">
        <v>0.12583085072520564</v>
      </c>
      <c r="BX103" s="10">
        <v>1647</v>
      </c>
      <c r="BY103" s="14">
        <v>0.1567526410964119</v>
      </c>
      <c r="BZ103" s="56"/>
      <c r="CA103" s="55"/>
      <c r="CB103" s="56"/>
      <c r="CC103" s="9">
        <v>7675495.340000011</v>
      </c>
      <c r="CD103" s="14">
        <v>0.12977815369761495</v>
      </c>
      <c r="CE103" s="10">
        <v>1544</v>
      </c>
      <c r="CF103" s="14">
        <v>0.15702227194142174</v>
      </c>
      <c r="CG103" s="56"/>
      <c r="CH103" s="55"/>
      <c r="CI103" s="56"/>
      <c r="CJ103" s="9">
        <v>7266499.250000013</v>
      </c>
      <c r="CK103" s="14">
        <v>0.13359494811345626</v>
      </c>
      <c r="CL103" s="10">
        <v>1480</v>
      </c>
      <c r="CM103" s="14">
        <v>0.16231629743364773</v>
      </c>
      <c r="CN103" s="56"/>
      <c r="CO103" s="55"/>
      <c r="CP103" s="56"/>
      <c r="CQ103" s="9">
        <v>6905355.010000003</v>
      </c>
      <c r="CR103" s="14">
        <v>0.13816710667182916</v>
      </c>
      <c r="CS103" s="10">
        <v>1420</v>
      </c>
      <c r="CT103" s="14">
        <v>0.16973464021037532</v>
      </c>
      <c r="CU103" s="56"/>
      <c r="CV103" s="55"/>
      <c r="CW103" s="56"/>
      <c r="CX103" s="9">
        <v>6552742.120000012</v>
      </c>
      <c r="CY103" s="14">
        <v>0.14138466290948426</v>
      </c>
      <c r="CZ103" s="10">
        <v>1345</v>
      </c>
      <c r="DA103" s="14">
        <v>0.17214898246512222</v>
      </c>
      <c r="DB103" s="56"/>
      <c r="DC103" s="55"/>
      <c r="DD103" s="56"/>
    </row>
    <row r="104" spans="1:108" ht="12.75">
      <c r="A104" s="24">
        <v>1999</v>
      </c>
      <c r="B104" s="8"/>
      <c r="C104" s="8"/>
      <c r="D104" s="9">
        <v>37921068.71000008</v>
      </c>
      <c r="E104" s="14">
        <f>+D104/$D$110</f>
        <v>0.4148495463776012</v>
      </c>
      <c r="F104" s="10">
        <v>6593</v>
      </c>
      <c r="G104" s="14">
        <f>+F104/$F$110</f>
        <v>0.34721929639772486</v>
      </c>
      <c r="H104" s="8"/>
      <c r="I104" s="8"/>
      <c r="J104" s="9">
        <v>34608377.05999999</v>
      </c>
      <c r="K104" s="14">
        <f>+J104/$J$110</f>
        <v>0.41589444875979503</v>
      </c>
      <c r="L104" s="10">
        <v>5412</v>
      </c>
      <c r="M104" s="14">
        <f>+L104/$L$110</f>
        <v>0.3564043463944682</v>
      </c>
      <c r="N104" s="56"/>
      <c r="O104" s="55"/>
      <c r="P104" s="56"/>
      <c r="Q104" s="8"/>
      <c r="R104" s="9">
        <v>31205179.639999986</v>
      </c>
      <c r="S104" s="14">
        <v>0.39729268450557215</v>
      </c>
      <c r="T104" s="10">
        <v>4989</v>
      </c>
      <c r="U104" s="14">
        <v>0.34725412403424516</v>
      </c>
      <c r="V104" s="56"/>
      <c r="W104" s="55"/>
      <c r="X104" s="56"/>
      <c r="Y104" s="9">
        <v>28312435.869999938</v>
      </c>
      <c r="Z104" s="14">
        <v>0.3499525223451622</v>
      </c>
      <c r="AA104" s="10">
        <v>4813</v>
      </c>
      <c r="AB104" s="14">
        <v>0.33124569855471436</v>
      </c>
      <c r="AC104" s="56"/>
      <c r="AD104" s="55"/>
      <c r="AE104" s="56"/>
      <c r="AF104" s="9">
        <v>25243313.72000002</v>
      </c>
      <c r="AG104" s="14">
        <v>0.31442334082527307</v>
      </c>
      <c r="AH104" s="10">
        <v>4287</v>
      </c>
      <c r="AI104" s="14">
        <v>0.3017314189189189</v>
      </c>
      <c r="AJ104" s="56"/>
      <c r="AK104" s="55"/>
      <c r="AL104" s="56"/>
      <c r="AM104" s="9">
        <v>22799394.779999964</v>
      </c>
      <c r="AN104" s="14">
        <v>0.27929934096262754</v>
      </c>
      <c r="AO104" s="10">
        <v>4214</v>
      </c>
      <c r="AP104" s="14">
        <v>0.2976619340255704</v>
      </c>
      <c r="AQ104" s="56"/>
      <c r="AR104" s="55"/>
      <c r="AS104" s="56"/>
      <c r="AT104" s="9">
        <v>20319639.41000001</v>
      </c>
      <c r="AU104" s="14">
        <v>0.252842219464836</v>
      </c>
      <c r="AV104" s="10">
        <v>3519</v>
      </c>
      <c r="AW104" s="14">
        <v>0.2552959953569356</v>
      </c>
      <c r="AX104" s="56"/>
      <c r="AY104" s="55"/>
      <c r="AZ104" s="56"/>
      <c r="BA104" s="9">
        <v>18431720.750000067</v>
      </c>
      <c r="BB104" s="14">
        <v>0.2209626910921596</v>
      </c>
      <c r="BC104" s="10">
        <v>3718</v>
      </c>
      <c r="BD104" s="14">
        <v>0.265552460538533</v>
      </c>
      <c r="BE104" s="56"/>
      <c r="BF104" s="55"/>
      <c r="BG104" s="56"/>
      <c r="BH104" s="9">
        <v>16639064.620000008</v>
      </c>
      <c r="BI104" s="14">
        <v>0.21818230422261942</v>
      </c>
      <c r="BJ104" s="10">
        <v>3005</v>
      </c>
      <c r="BK104" s="14">
        <v>0.24492623685711956</v>
      </c>
      <c r="BL104" s="56"/>
      <c r="BM104" s="55"/>
      <c r="BN104" s="56"/>
      <c r="BO104" s="9">
        <v>15119903.280000012</v>
      </c>
      <c r="BP104" s="14">
        <v>0.21597581889095432</v>
      </c>
      <c r="BQ104" s="10">
        <v>2779</v>
      </c>
      <c r="BR104" s="14">
        <v>0.2449969143965441</v>
      </c>
      <c r="BS104" s="56"/>
      <c r="BT104" s="55"/>
      <c r="BU104" s="56"/>
      <c r="BV104" s="9">
        <v>13813907.980000032</v>
      </c>
      <c r="BW104" s="14">
        <v>0.21539186372137967</v>
      </c>
      <c r="BX104" s="10">
        <v>2588</v>
      </c>
      <c r="BY104" s="14">
        <v>0.24631198248786523</v>
      </c>
      <c r="BZ104" s="56"/>
      <c r="CA104" s="55"/>
      <c r="CB104" s="56"/>
      <c r="CC104" s="9">
        <v>12525180.360000001</v>
      </c>
      <c r="CD104" s="14">
        <v>0.21177718308020313</v>
      </c>
      <c r="CE104" s="10">
        <v>2386</v>
      </c>
      <c r="CF104" s="14">
        <v>0.24265229329807791</v>
      </c>
      <c r="CG104" s="56"/>
      <c r="CH104" s="55"/>
      <c r="CI104" s="56"/>
      <c r="CJ104" s="9">
        <v>11481976.719999997</v>
      </c>
      <c r="CK104" s="14">
        <v>0.2110967098975906</v>
      </c>
      <c r="CL104" s="10">
        <v>2114</v>
      </c>
      <c r="CM104" s="14">
        <v>0.23184908971265628</v>
      </c>
      <c r="CN104" s="56"/>
      <c r="CO104" s="55"/>
      <c r="CP104" s="56"/>
      <c r="CQ104" s="9">
        <v>10496373.200000014</v>
      </c>
      <c r="CR104" s="14">
        <v>0.21001867586699646</v>
      </c>
      <c r="CS104" s="10">
        <v>1846</v>
      </c>
      <c r="CT104" s="14">
        <v>0.22065503227348793</v>
      </c>
      <c r="CU104" s="56"/>
      <c r="CV104" s="55"/>
      <c r="CW104" s="56"/>
      <c r="CX104" s="9">
        <v>9840026.100000001</v>
      </c>
      <c r="CY104" s="14">
        <v>0.21231245602093443</v>
      </c>
      <c r="CZ104" s="10">
        <v>1678</v>
      </c>
      <c r="DA104" s="14">
        <v>0.21477025470369895</v>
      </c>
      <c r="DB104" s="56"/>
      <c r="DC104" s="55"/>
      <c r="DD104" s="56"/>
    </row>
    <row r="105" spans="1:108" ht="12.75">
      <c r="A105" s="24">
        <v>2000</v>
      </c>
      <c r="B105" s="8"/>
      <c r="C105" s="8"/>
      <c r="D105" s="9">
        <v>24121861.23999999</v>
      </c>
      <c r="E105" s="14">
        <f>+D105/$D$110</f>
        <v>0.2638887440046891</v>
      </c>
      <c r="F105" s="10">
        <v>3579</v>
      </c>
      <c r="G105" s="14">
        <f>+F105/$F$110</f>
        <v>0.18848746576785338</v>
      </c>
      <c r="H105" s="8"/>
      <c r="I105" s="8"/>
      <c r="J105" s="9">
        <v>22288732.00000001</v>
      </c>
      <c r="K105" s="14">
        <f>+J105/$J$110</f>
        <v>0.26784728716472245</v>
      </c>
      <c r="L105" s="10">
        <v>3091</v>
      </c>
      <c r="M105" s="14">
        <f>+L105/$L$110</f>
        <v>0.2035561409285479</v>
      </c>
      <c r="N105" s="56"/>
      <c r="O105" s="55"/>
      <c r="P105" s="56"/>
      <c r="Q105" s="8"/>
      <c r="R105" s="9">
        <v>20276495.140000038</v>
      </c>
      <c r="S105" s="14">
        <v>0.25815275795460235</v>
      </c>
      <c r="T105" s="10">
        <v>2886</v>
      </c>
      <c r="U105" s="14">
        <v>0.20087700981415743</v>
      </c>
      <c r="V105" s="56"/>
      <c r="W105" s="55"/>
      <c r="X105" s="56"/>
      <c r="Y105" s="9">
        <v>18500662.74999995</v>
      </c>
      <c r="Z105" s="14">
        <v>0.2286752586088836</v>
      </c>
      <c r="AA105" s="10">
        <v>2712</v>
      </c>
      <c r="AB105" s="14">
        <v>0.18664831383344804</v>
      </c>
      <c r="AC105" s="56"/>
      <c r="AD105" s="55"/>
      <c r="AE105" s="56"/>
      <c r="AF105" s="9">
        <v>16779665.739999987</v>
      </c>
      <c r="AG105" s="14">
        <v>0.20900261425353664</v>
      </c>
      <c r="AH105" s="10">
        <v>2521</v>
      </c>
      <c r="AI105" s="14">
        <v>0.17743524774774774</v>
      </c>
      <c r="AJ105" s="56"/>
      <c r="AK105" s="55"/>
      <c r="AL105" s="56"/>
      <c r="AM105" s="9">
        <v>15143807.040000001</v>
      </c>
      <c r="AN105" s="14">
        <v>0.18551612298268236</v>
      </c>
      <c r="AO105" s="10">
        <v>2335</v>
      </c>
      <c r="AP105" s="14">
        <v>0.16493607402698313</v>
      </c>
      <c r="AQ105" s="56"/>
      <c r="AR105" s="55"/>
      <c r="AS105" s="56"/>
      <c r="AT105" s="9">
        <v>13498780.980000015</v>
      </c>
      <c r="AU105" s="14">
        <v>0.16796861766027352</v>
      </c>
      <c r="AV105" s="10">
        <v>2185</v>
      </c>
      <c r="AW105" s="14">
        <v>0.15851712130005804</v>
      </c>
      <c r="AX105" s="56"/>
      <c r="AY105" s="55"/>
      <c r="AZ105" s="56"/>
      <c r="BA105" s="9">
        <v>12369066.48999997</v>
      </c>
      <c r="BB105" s="14">
        <v>0.1482825317830532</v>
      </c>
      <c r="BC105" s="10">
        <v>2125</v>
      </c>
      <c r="BD105" s="14">
        <v>0.15177487322334118</v>
      </c>
      <c r="BE105" s="56"/>
      <c r="BF105" s="55"/>
      <c r="BG105" s="56"/>
      <c r="BH105" s="9">
        <v>11040766.999999985</v>
      </c>
      <c r="BI105" s="14">
        <v>0.14477376219511628</v>
      </c>
      <c r="BJ105" s="10">
        <v>1828</v>
      </c>
      <c r="BK105" s="14">
        <v>0.14899339799494662</v>
      </c>
      <c r="BL105" s="56"/>
      <c r="BM105" s="55"/>
      <c r="BN105" s="56"/>
      <c r="BO105" s="9">
        <v>9967073.069999993</v>
      </c>
      <c r="BP105" s="14">
        <v>0.14237172873232987</v>
      </c>
      <c r="BQ105" s="10">
        <v>1674</v>
      </c>
      <c r="BR105" s="14">
        <v>0.14758000528960594</v>
      </c>
      <c r="BS105" s="56"/>
      <c r="BT105" s="55"/>
      <c r="BU105" s="56"/>
      <c r="BV105" s="9">
        <v>8924635.299999991</v>
      </c>
      <c r="BW105" s="14">
        <v>0.13915640911201496</v>
      </c>
      <c r="BX105" s="10">
        <v>1547</v>
      </c>
      <c r="BY105" s="14">
        <v>0.14723517654896737</v>
      </c>
      <c r="BZ105" s="56"/>
      <c r="CA105" s="55"/>
      <c r="CB105" s="56"/>
      <c r="CC105" s="9">
        <v>8004597.040000013</v>
      </c>
      <c r="CD105" s="14">
        <v>0.13534264290812453</v>
      </c>
      <c r="CE105" s="10">
        <v>1423</v>
      </c>
      <c r="CF105" s="14">
        <v>0.14471677006000203</v>
      </c>
      <c r="CG105" s="56"/>
      <c r="CH105" s="55"/>
      <c r="CI105" s="56"/>
      <c r="CJ105" s="9">
        <v>7255895.4100000085</v>
      </c>
      <c r="CK105" s="14">
        <v>0.13339999599058858</v>
      </c>
      <c r="CL105" s="10">
        <v>1310</v>
      </c>
      <c r="CM105" s="14">
        <v>0.14367185786356657</v>
      </c>
      <c r="CN105" s="56"/>
      <c r="CO105" s="55"/>
      <c r="CP105" s="56"/>
      <c r="CQ105" s="9">
        <v>6591604.800000005</v>
      </c>
      <c r="CR105" s="14">
        <v>0.131889376030812</v>
      </c>
      <c r="CS105" s="10">
        <v>1218</v>
      </c>
      <c r="CT105" s="14">
        <v>0.1455892899832656</v>
      </c>
      <c r="CU105" s="56"/>
      <c r="CV105" s="55"/>
      <c r="CW105" s="56"/>
      <c r="CX105" s="9">
        <v>6047493.570000008</v>
      </c>
      <c r="CY105" s="14">
        <v>0.13048321209407263</v>
      </c>
      <c r="CZ105" s="10">
        <v>1154</v>
      </c>
      <c r="DA105" s="14">
        <v>0.14770254703698962</v>
      </c>
      <c r="DB105" s="56"/>
      <c r="DC105" s="55"/>
      <c r="DD105" s="56"/>
    </row>
    <row r="106" spans="1:108" ht="12.75">
      <c r="A106" s="24">
        <v>2001</v>
      </c>
      <c r="B106" s="8"/>
      <c r="C106" s="8"/>
      <c r="D106" s="9">
        <v>7339.92</v>
      </c>
      <c r="E106" s="14">
        <f>+D106/$D$110</f>
        <v>8.029738048086451E-05</v>
      </c>
      <c r="F106" s="10">
        <v>3</v>
      </c>
      <c r="G106" s="14">
        <f>+F106/$F$110</f>
        <v>0.00015799452285654097</v>
      </c>
      <c r="H106" s="8"/>
      <c r="I106" s="8"/>
      <c r="J106" s="9">
        <v>6901.05</v>
      </c>
      <c r="K106" s="14">
        <f>+J106/$J$110</f>
        <v>8.293103084949412E-05</v>
      </c>
      <c r="L106" s="10">
        <v>3</v>
      </c>
      <c r="M106" s="14">
        <f>+L106/$L$110</f>
        <v>0.00019756338491932828</v>
      </c>
      <c r="N106" s="56"/>
      <c r="O106" s="55"/>
      <c r="P106" s="56"/>
      <c r="Q106" s="8"/>
      <c r="R106" s="9">
        <v>3602403.97</v>
      </c>
      <c r="S106" s="14">
        <v>0.045864460978146435</v>
      </c>
      <c r="T106" s="10">
        <v>573</v>
      </c>
      <c r="U106" s="14">
        <v>0.03988306535811234</v>
      </c>
      <c r="V106" s="56"/>
      <c r="W106" s="55"/>
      <c r="X106" s="56"/>
      <c r="Y106" s="9">
        <v>12872632.460000025</v>
      </c>
      <c r="Z106" s="14">
        <v>0.15911065438818525</v>
      </c>
      <c r="AA106" s="10">
        <v>1566</v>
      </c>
      <c r="AB106" s="14">
        <v>0.10777701307639367</v>
      </c>
      <c r="AC106" s="56"/>
      <c r="AD106" s="55"/>
      <c r="AE106" s="56"/>
      <c r="AF106" s="9">
        <v>13951162.310000006</v>
      </c>
      <c r="AG106" s="14">
        <v>0.1737716018808735</v>
      </c>
      <c r="AH106" s="10">
        <v>1745</v>
      </c>
      <c r="AI106" s="14">
        <v>0.12281813063063063</v>
      </c>
      <c r="AJ106" s="56"/>
      <c r="AK106" s="55"/>
      <c r="AL106" s="56"/>
      <c r="AM106" s="9">
        <v>13081878.57000003</v>
      </c>
      <c r="AN106" s="14">
        <v>0.1602568883257933</v>
      </c>
      <c r="AO106" s="10">
        <v>1677</v>
      </c>
      <c r="AP106" s="14">
        <v>0.1184573002754821</v>
      </c>
      <c r="AQ106" s="56"/>
      <c r="AR106" s="55"/>
      <c r="AS106" s="56"/>
      <c r="AT106" s="9">
        <v>12054151.769999979</v>
      </c>
      <c r="AU106" s="14">
        <v>0.14999274474294297</v>
      </c>
      <c r="AV106" s="10">
        <v>1997</v>
      </c>
      <c r="AW106" s="14">
        <v>0.1448781195589089</v>
      </c>
      <c r="AX106" s="56"/>
      <c r="AY106" s="55"/>
      <c r="AZ106" s="56"/>
      <c r="BA106" s="9">
        <v>11226742.120000025</v>
      </c>
      <c r="BB106" s="14">
        <v>0.13458814750287998</v>
      </c>
      <c r="BC106" s="10">
        <v>1460</v>
      </c>
      <c r="BD106" s="14">
        <v>0.10427826583815442</v>
      </c>
      <c r="BE106" s="56"/>
      <c r="BF106" s="55"/>
      <c r="BG106" s="56"/>
      <c r="BH106" s="9">
        <v>10233447.059999997</v>
      </c>
      <c r="BI106" s="14">
        <v>0.13418765481607875</v>
      </c>
      <c r="BJ106" s="10">
        <v>1364</v>
      </c>
      <c r="BK106" s="14">
        <v>0.11117450484962099</v>
      </c>
      <c r="BL106" s="56"/>
      <c r="BM106" s="55"/>
      <c r="BN106" s="56"/>
      <c r="BO106" s="9">
        <v>9273413.949999996</v>
      </c>
      <c r="BP106" s="14">
        <v>0.13246335870516537</v>
      </c>
      <c r="BQ106" s="10">
        <v>1266</v>
      </c>
      <c r="BR106" s="14">
        <v>0.1116106850039672</v>
      </c>
      <c r="BS106" s="56"/>
      <c r="BT106" s="55"/>
      <c r="BU106" s="56"/>
      <c r="BV106" s="9">
        <v>8539816.649999999</v>
      </c>
      <c r="BW106" s="14">
        <v>0.1331561659991863</v>
      </c>
      <c r="BX106" s="10">
        <v>1188</v>
      </c>
      <c r="BY106" s="14">
        <v>0.11306747882364138</v>
      </c>
      <c r="BZ106" s="56"/>
      <c r="CA106" s="55"/>
      <c r="CB106" s="56"/>
      <c r="CC106" s="9">
        <v>7868185.619999999</v>
      </c>
      <c r="CD106" s="14">
        <v>0.1330361830059716</v>
      </c>
      <c r="CE106" s="10">
        <v>1107</v>
      </c>
      <c r="CF106" s="14">
        <v>0.11258008746059188</v>
      </c>
      <c r="CG106" s="56"/>
      <c r="CH106" s="55"/>
      <c r="CI106" s="56"/>
      <c r="CJ106" s="9">
        <v>7174781.369999997</v>
      </c>
      <c r="CK106" s="14">
        <v>0.1319087103532751</v>
      </c>
      <c r="CL106" s="10">
        <v>1039</v>
      </c>
      <c r="CM106" s="14">
        <v>0.11395042772537838</v>
      </c>
      <c r="CN106" s="56"/>
      <c r="CO106" s="55"/>
      <c r="CP106" s="56"/>
      <c r="CQ106" s="9">
        <v>6569153.279999998</v>
      </c>
      <c r="CR106" s="14">
        <v>0.13144015053055988</v>
      </c>
      <c r="CS106" s="10">
        <v>973</v>
      </c>
      <c r="CT106" s="14">
        <v>0.11630408797513746</v>
      </c>
      <c r="CU106" s="56"/>
      <c r="CV106" s="55"/>
      <c r="CW106" s="56"/>
      <c r="CX106" s="9">
        <v>5940535.09</v>
      </c>
      <c r="CY106" s="14">
        <v>0.12817543187577954</v>
      </c>
      <c r="CZ106" s="10">
        <v>889</v>
      </c>
      <c r="DA106" s="14">
        <v>0.1137847177780622</v>
      </c>
      <c r="DB106" s="56"/>
      <c r="DC106" s="55"/>
      <c r="DD106" s="56"/>
    </row>
    <row r="107" spans="1:108" ht="12.75">
      <c r="A107" s="24">
        <v>2002</v>
      </c>
      <c r="B107" s="8"/>
      <c r="C107" s="8"/>
      <c r="D107" s="9"/>
      <c r="E107" s="8"/>
      <c r="F107" s="10"/>
      <c r="G107" s="8"/>
      <c r="H107" s="8"/>
      <c r="I107" s="8"/>
      <c r="J107" s="9"/>
      <c r="K107" s="8"/>
      <c r="L107" s="10"/>
      <c r="M107" s="8"/>
      <c r="N107" s="54"/>
      <c r="O107" s="55"/>
      <c r="P107" s="54"/>
      <c r="Q107" s="8"/>
      <c r="R107" s="9"/>
      <c r="S107" s="8"/>
      <c r="T107" s="10"/>
      <c r="U107" s="8"/>
      <c r="V107" s="54"/>
      <c r="W107" s="55"/>
      <c r="X107" s="54"/>
      <c r="Y107" s="9"/>
      <c r="Z107" s="8"/>
      <c r="AA107" s="10"/>
      <c r="AB107" s="8"/>
      <c r="AC107" s="54"/>
      <c r="AD107" s="55"/>
      <c r="AE107" s="54"/>
      <c r="AF107" s="9">
        <v>5257999.05</v>
      </c>
      <c r="AG107" s="14">
        <v>0.06549210003468242</v>
      </c>
      <c r="AH107" s="10">
        <v>581</v>
      </c>
      <c r="AI107" s="14">
        <v>0.04089245495495496</v>
      </c>
      <c r="AJ107" s="54"/>
      <c r="AK107" s="55"/>
      <c r="AL107" s="54"/>
      <c r="AM107" s="9">
        <v>13410709.849999998</v>
      </c>
      <c r="AN107" s="14">
        <v>0.1642851689305247</v>
      </c>
      <c r="AO107" s="10">
        <v>1529</v>
      </c>
      <c r="AP107" s="14">
        <v>0.108003108003108</v>
      </c>
      <c r="AQ107" s="54"/>
      <c r="AR107" s="55"/>
      <c r="AS107" s="54"/>
      <c r="AT107" s="9">
        <v>18713394.01000002</v>
      </c>
      <c r="AU107" s="14">
        <v>0.23285531695409006</v>
      </c>
      <c r="AV107" s="10">
        <v>2197</v>
      </c>
      <c r="AW107" s="14">
        <v>0.15938769587928034</v>
      </c>
      <c r="AX107" s="54"/>
      <c r="AY107" s="55"/>
      <c r="AZ107" s="54"/>
      <c r="BA107" s="9">
        <v>26521474.30999997</v>
      </c>
      <c r="BB107" s="14">
        <v>0.31794407124300367</v>
      </c>
      <c r="BC107" s="10">
        <v>3142</v>
      </c>
      <c r="BD107" s="14">
        <v>0.2244125419612885</v>
      </c>
      <c r="BE107" s="54"/>
      <c r="BF107" s="55"/>
      <c r="BG107" s="54"/>
      <c r="BH107" s="9">
        <v>24134802.340000004</v>
      </c>
      <c r="BI107" s="14">
        <v>0.3164713225627623</v>
      </c>
      <c r="BJ107" s="10">
        <v>2861</v>
      </c>
      <c r="BK107" s="14">
        <v>0.2331893389844323</v>
      </c>
      <c r="BL107" s="54"/>
      <c r="BM107" s="55"/>
      <c r="BN107" s="54"/>
      <c r="BO107" s="9">
        <v>21714435.319999978</v>
      </c>
      <c r="BP107" s="14">
        <v>0.31017347552713004</v>
      </c>
      <c r="BQ107" s="10">
        <v>2608</v>
      </c>
      <c r="BR107" s="14">
        <v>0.22992153751212202</v>
      </c>
      <c r="BS107" s="54"/>
      <c r="BT107" s="55"/>
      <c r="BU107" s="54"/>
      <c r="BV107" s="9">
        <v>19537407.629999958</v>
      </c>
      <c r="BW107" s="14">
        <v>0.3046349119888943</v>
      </c>
      <c r="BX107" s="10">
        <v>2424</v>
      </c>
      <c r="BY107" s="14">
        <v>0.23070334063005615</v>
      </c>
      <c r="BZ107" s="54"/>
      <c r="CA107" s="55"/>
      <c r="CB107" s="54"/>
      <c r="CC107" s="9">
        <v>17810822.169999994</v>
      </c>
      <c r="CD107" s="14">
        <v>0.30114741976498205</v>
      </c>
      <c r="CE107" s="10">
        <v>2258</v>
      </c>
      <c r="CF107" s="14">
        <v>0.22963490287806365</v>
      </c>
      <c r="CG107" s="54"/>
      <c r="CH107" s="55"/>
      <c r="CI107" s="54"/>
      <c r="CJ107" s="9">
        <v>16165647.62</v>
      </c>
      <c r="CK107" s="14">
        <v>0.2972005850005071</v>
      </c>
      <c r="CL107" s="10">
        <v>2094</v>
      </c>
      <c r="CM107" s="14">
        <v>0.22954595305988154</v>
      </c>
      <c r="CN107" s="54"/>
      <c r="CO107" s="55"/>
      <c r="CP107" s="54"/>
      <c r="CQ107" s="9">
        <v>14623262.550000004</v>
      </c>
      <c r="CR107" s="14">
        <v>0.2925923249000364</v>
      </c>
      <c r="CS107" s="10">
        <v>1873</v>
      </c>
      <c r="CT107" s="14">
        <v>0.2238823810662204</v>
      </c>
      <c r="CU107" s="54"/>
      <c r="CV107" s="55"/>
      <c r="CW107" s="54"/>
      <c r="CX107" s="9">
        <v>13342210.470000006</v>
      </c>
      <c r="CY107" s="14">
        <v>0.2878770284597037</v>
      </c>
      <c r="CZ107" s="10">
        <v>1741</v>
      </c>
      <c r="DA107" s="14">
        <v>0.222833738640727</v>
      </c>
      <c r="DB107" s="54"/>
      <c r="DC107" s="55"/>
      <c r="DD107" s="54"/>
    </row>
    <row r="108" spans="1:108" ht="12.75">
      <c r="A108" s="24">
        <v>2003</v>
      </c>
      <c r="B108" s="8"/>
      <c r="C108" s="8"/>
      <c r="D108" s="9"/>
      <c r="E108" s="8"/>
      <c r="F108" s="10"/>
      <c r="G108" s="8"/>
      <c r="H108" s="8"/>
      <c r="I108" s="8"/>
      <c r="J108" s="9"/>
      <c r="K108" s="8"/>
      <c r="L108" s="10"/>
      <c r="M108" s="8"/>
      <c r="N108" s="54"/>
      <c r="O108" s="55"/>
      <c r="P108" s="54"/>
      <c r="Q108" s="8"/>
      <c r="R108" s="9"/>
      <c r="S108" s="8"/>
      <c r="T108" s="10"/>
      <c r="U108" s="8"/>
      <c r="V108" s="54"/>
      <c r="W108" s="55"/>
      <c r="X108" s="54"/>
      <c r="Y108" s="9"/>
      <c r="Z108" s="8"/>
      <c r="AA108" s="10"/>
      <c r="AB108" s="8"/>
      <c r="AC108" s="54"/>
      <c r="AD108" s="55"/>
      <c r="AE108" s="54"/>
      <c r="AF108" s="9"/>
      <c r="AG108" s="14"/>
      <c r="AH108" s="10"/>
      <c r="AI108" s="14"/>
      <c r="AJ108" s="54"/>
      <c r="AK108" s="55"/>
      <c r="AL108" s="54"/>
      <c r="AM108" s="9"/>
      <c r="AN108" s="14"/>
      <c r="AO108" s="10"/>
      <c r="AP108" s="14"/>
      <c r="AQ108" s="54"/>
      <c r="AR108" s="55"/>
      <c r="AS108" s="54"/>
      <c r="AT108" s="9"/>
      <c r="AU108" s="14"/>
      <c r="AV108" s="10"/>
      <c r="AW108" s="14"/>
      <c r="AX108" s="54"/>
      <c r="AY108" s="55"/>
      <c r="AZ108" s="54"/>
      <c r="BA108" s="9">
        <v>249196.31</v>
      </c>
      <c r="BB108" s="14">
        <v>0.0029874089356435075</v>
      </c>
      <c r="BC108" s="10">
        <v>28</v>
      </c>
      <c r="BD108" s="14">
        <v>0.0019998571530604956</v>
      </c>
      <c r="BE108" s="54"/>
      <c r="BF108" s="55"/>
      <c r="BG108" s="54"/>
      <c r="BH108" s="9">
        <v>680611.87</v>
      </c>
      <c r="BI108" s="14">
        <v>0.008924628244990001</v>
      </c>
      <c r="BJ108" s="10">
        <v>77</v>
      </c>
      <c r="BK108" s="14">
        <v>0.006275980112478605</v>
      </c>
      <c r="BL108" s="54"/>
      <c r="BM108" s="55"/>
      <c r="BN108" s="54"/>
      <c r="BO108" s="9">
        <v>1243993.76</v>
      </c>
      <c r="BP108" s="14">
        <v>0.017769463602761684</v>
      </c>
      <c r="BQ108" s="10">
        <v>152</v>
      </c>
      <c r="BR108" s="14">
        <v>0.01340033500837521</v>
      </c>
      <c r="BS108" s="54"/>
      <c r="BT108" s="55"/>
      <c r="BU108" s="54"/>
      <c r="BV108" s="9">
        <v>1340430.04</v>
      </c>
      <c r="BW108" s="14">
        <v>0.020900510190290333</v>
      </c>
      <c r="BX108" s="10">
        <v>183</v>
      </c>
      <c r="BY108" s="14">
        <v>0.017416960121823546</v>
      </c>
      <c r="BZ108" s="54"/>
      <c r="CA108" s="55"/>
      <c r="CB108" s="54"/>
      <c r="CC108" s="9">
        <v>1464663.5</v>
      </c>
      <c r="CD108" s="14">
        <v>0.024764698094167092</v>
      </c>
      <c r="CE108" s="10">
        <v>216</v>
      </c>
      <c r="CF108" s="14">
        <v>0.021966846333774027</v>
      </c>
      <c r="CG108" s="54"/>
      <c r="CH108" s="55"/>
      <c r="CI108" s="54"/>
      <c r="CJ108" s="9">
        <v>1363227.15</v>
      </c>
      <c r="CK108" s="14">
        <v>0.025062998578181166</v>
      </c>
      <c r="CL108" s="10">
        <v>206</v>
      </c>
      <c r="CM108" s="14">
        <v>0.022592673831980697</v>
      </c>
      <c r="CN108" s="54"/>
      <c r="CO108" s="55"/>
      <c r="CP108" s="54"/>
      <c r="CQ108" s="9">
        <v>1239383.83</v>
      </c>
      <c r="CR108" s="14">
        <v>0.02479844665465651</v>
      </c>
      <c r="CS108" s="10">
        <v>194</v>
      </c>
      <c r="CT108" s="14">
        <v>0.02318909873296677</v>
      </c>
      <c r="CU108" s="54"/>
      <c r="CV108" s="55"/>
      <c r="CW108" s="54"/>
      <c r="CX108" s="9">
        <v>1125603.42</v>
      </c>
      <c r="CY108" s="14">
        <v>0.024286483000869608</v>
      </c>
      <c r="CZ108" s="10">
        <v>181</v>
      </c>
      <c r="DA108" s="14">
        <v>0.023166517342890054</v>
      </c>
      <c r="DB108" s="54"/>
      <c r="DC108" s="55"/>
      <c r="DD108" s="54"/>
    </row>
    <row r="109" spans="1:108" ht="12.75">
      <c r="A109" s="8"/>
      <c r="B109" s="8"/>
      <c r="C109" s="8"/>
      <c r="D109" s="9"/>
      <c r="E109" s="8"/>
      <c r="F109" s="10"/>
      <c r="G109" s="8"/>
      <c r="H109" s="8"/>
      <c r="I109" s="8"/>
      <c r="J109" s="9"/>
      <c r="K109" s="8"/>
      <c r="L109" s="10"/>
      <c r="M109" s="8"/>
      <c r="N109" s="54"/>
      <c r="O109" s="55"/>
      <c r="P109" s="54"/>
      <c r="Q109" s="8"/>
      <c r="R109" s="9"/>
      <c r="S109" s="8"/>
      <c r="T109" s="10"/>
      <c r="U109" s="8"/>
      <c r="V109" s="54"/>
      <c r="W109" s="55"/>
      <c r="X109" s="54"/>
      <c r="Y109" s="9"/>
      <c r="Z109" s="8"/>
      <c r="AA109" s="10"/>
      <c r="AB109" s="8"/>
      <c r="AC109" s="54"/>
      <c r="AD109" s="55"/>
      <c r="AE109" s="54"/>
      <c r="AF109" s="9"/>
      <c r="AG109" s="8"/>
      <c r="AH109" s="10"/>
      <c r="AI109" s="8"/>
      <c r="AJ109" s="54"/>
      <c r="AK109" s="55"/>
      <c r="AL109" s="54"/>
      <c r="AM109" s="9"/>
      <c r="AN109" s="8"/>
      <c r="AO109" s="10"/>
      <c r="AP109" s="8"/>
      <c r="AQ109" s="54"/>
      <c r="AR109" s="55"/>
      <c r="AS109" s="54"/>
      <c r="AT109" s="9"/>
      <c r="AU109" s="8"/>
      <c r="AV109" s="10"/>
      <c r="AW109" s="8"/>
      <c r="AX109" s="54"/>
      <c r="AY109" s="55"/>
      <c r="AZ109" s="54"/>
      <c r="BA109" s="9"/>
      <c r="BB109" s="8"/>
      <c r="BC109" s="10"/>
      <c r="BD109" s="8"/>
      <c r="BE109" s="54"/>
      <c r="BF109" s="55"/>
      <c r="BG109" s="54"/>
      <c r="BH109" s="9"/>
      <c r="BI109" s="8"/>
      <c r="BJ109" s="10"/>
      <c r="BK109" s="8"/>
      <c r="BL109" s="54"/>
      <c r="BM109" s="55"/>
      <c r="BN109" s="54"/>
      <c r="BO109" s="9"/>
      <c r="BP109" s="8"/>
      <c r="BQ109" s="10"/>
      <c r="BR109" s="8"/>
      <c r="BS109" s="54"/>
      <c r="BT109" s="55"/>
      <c r="BU109" s="54"/>
      <c r="BV109" s="9"/>
      <c r="BW109" s="8"/>
      <c r="BX109" s="10"/>
      <c r="BY109" s="8"/>
      <c r="BZ109" s="54"/>
      <c r="CA109" s="55"/>
      <c r="CB109" s="54"/>
      <c r="CC109" s="9"/>
      <c r="CD109" s="8"/>
      <c r="CE109" s="10"/>
      <c r="CF109" s="8"/>
      <c r="CG109" s="54"/>
      <c r="CH109" s="55"/>
      <c r="CI109" s="54"/>
      <c r="CJ109" s="9"/>
      <c r="CK109" s="8"/>
      <c r="CL109" s="10"/>
      <c r="CM109" s="8"/>
      <c r="CN109" s="54"/>
      <c r="CO109" s="55"/>
      <c r="CP109" s="54"/>
      <c r="CQ109" s="9"/>
      <c r="CR109" s="8"/>
      <c r="CS109" s="10"/>
      <c r="CT109" s="8"/>
      <c r="CU109" s="54"/>
      <c r="CV109" s="55"/>
      <c r="CW109" s="54"/>
      <c r="CX109" s="9"/>
      <c r="CY109" s="8"/>
      <c r="CZ109" s="10"/>
      <c r="DA109" s="8"/>
      <c r="DB109" s="54"/>
      <c r="DC109" s="55"/>
      <c r="DD109" s="54"/>
    </row>
    <row r="110" spans="1:108" ht="13.5" thickBot="1">
      <c r="A110" s="8"/>
      <c r="B110" s="12"/>
      <c r="C110" s="12"/>
      <c r="D110" s="21">
        <f>SUM(D101:D106)</f>
        <v>91409208.57000011</v>
      </c>
      <c r="E110" s="12"/>
      <c r="F110" s="22">
        <f>SUM(F101:F106)</f>
        <v>18988</v>
      </c>
      <c r="G110" s="12"/>
      <c r="H110" s="8"/>
      <c r="I110" s="8"/>
      <c r="J110" s="21">
        <f>SUM(J101:J106)</f>
        <v>83214327.9700001</v>
      </c>
      <c r="K110" s="12"/>
      <c r="L110" s="22">
        <f>SUM(L101:L106)</f>
        <v>15185</v>
      </c>
      <c r="M110" s="12"/>
      <c r="N110" s="53"/>
      <c r="O110" s="31"/>
      <c r="P110" s="53"/>
      <c r="Q110" s="8"/>
      <c r="R110" s="21">
        <v>78544561.37000006</v>
      </c>
      <c r="S110" s="12"/>
      <c r="T110" s="22">
        <v>14367</v>
      </c>
      <c r="U110" s="12"/>
      <c r="V110" s="53"/>
      <c r="W110" s="31"/>
      <c r="X110" s="53"/>
      <c r="Y110" s="21">
        <f>SUM(Y101:Y107)</f>
        <v>80903648.5299999</v>
      </c>
      <c r="Z110" s="12"/>
      <c r="AA110" s="22">
        <f>SUM(AA101:AA107)</f>
        <v>14530</v>
      </c>
      <c r="AB110" s="12"/>
      <c r="AC110" s="53"/>
      <c r="AD110" s="31"/>
      <c r="AE110" s="53"/>
      <c r="AF110" s="21">
        <f>SUM(AF101:AF107)</f>
        <v>80284477.78000006</v>
      </c>
      <c r="AG110" s="12"/>
      <c r="AH110" s="22">
        <f>SUM(AH101:AH107)</f>
        <v>14208</v>
      </c>
      <c r="AI110" s="12"/>
      <c r="AJ110" s="53"/>
      <c r="AK110" s="31"/>
      <c r="AL110" s="53"/>
      <c r="AM110" s="21">
        <f>SUM(AM101:AM107)</f>
        <v>81630678.76000002</v>
      </c>
      <c r="AN110" s="12"/>
      <c r="AO110" s="22">
        <f>SUM(AO101:AO107)</f>
        <v>14157</v>
      </c>
      <c r="AP110" s="12"/>
      <c r="AQ110" s="53"/>
      <c r="AR110" s="31"/>
      <c r="AS110" s="53"/>
      <c r="AT110" s="21">
        <f>SUM(AT101:AT107)</f>
        <v>80364898.92000005</v>
      </c>
      <c r="AU110" s="12"/>
      <c r="AV110" s="22">
        <f>SUM(AV101:AV107)</f>
        <v>13784</v>
      </c>
      <c r="AW110" s="12"/>
      <c r="AX110" s="53"/>
      <c r="AY110" s="31"/>
      <c r="AZ110" s="53"/>
      <c r="BA110" s="21">
        <f>SUM(BA101:BA108)</f>
        <v>83415533.45000005</v>
      </c>
      <c r="BB110" s="12"/>
      <c r="BC110" s="22">
        <f>SUM(BC101:BC108)</f>
        <v>14001</v>
      </c>
      <c r="BD110" s="12"/>
      <c r="BE110" s="53"/>
      <c r="BF110" s="31"/>
      <c r="BG110" s="53"/>
      <c r="BH110" s="21">
        <f>SUM(BH101:BH108)</f>
        <v>76262209.61999997</v>
      </c>
      <c r="BI110" s="12"/>
      <c r="BJ110" s="22">
        <f>SUM(BJ101:BJ108)</f>
        <v>12269</v>
      </c>
      <c r="BK110" s="12"/>
      <c r="BL110" s="53"/>
      <c r="BM110" s="31"/>
      <c r="BN110" s="53"/>
      <c r="BO110" s="21">
        <f>SUM(BO101:BO108)</f>
        <v>70007389.52</v>
      </c>
      <c r="BP110" s="12"/>
      <c r="BQ110" s="22">
        <f>SUM(BQ101:BQ108)</f>
        <v>11343</v>
      </c>
      <c r="BR110" s="12"/>
      <c r="BS110" s="53"/>
      <c r="BT110" s="31"/>
      <c r="BU110" s="53"/>
      <c r="BV110" s="21">
        <f>SUM(BV101:BV108)</f>
        <v>64133843.039999984</v>
      </c>
      <c r="BW110" s="12"/>
      <c r="BX110" s="22">
        <f>SUM(BX101:BX108)</f>
        <v>10507</v>
      </c>
      <c r="BY110" s="12"/>
      <c r="BZ110" s="53"/>
      <c r="CA110" s="31"/>
      <c r="CB110" s="53"/>
      <c r="CC110" s="21">
        <f>SUM(CC101:CC108)</f>
        <v>59143200.31000002</v>
      </c>
      <c r="CD110" s="12"/>
      <c r="CE110" s="22">
        <f>SUM(CE101:CE108)</f>
        <v>9833</v>
      </c>
      <c r="CF110" s="12"/>
      <c r="CG110" s="53"/>
      <c r="CH110" s="31"/>
      <c r="CI110" s="53"/>
      <c r="CJ110" s="21">
        <f>SUM(CJ101:CJ108)</f>
        <v>54392328.30000001</v>
      </c>
      <c r="CK110" s="12"/>
      <c r="CL110" s="22">
        <f>SUM(CL101:CL108)</f>
        <v>9119</v>
      </c>
      <c r="CM110" s="12"/>
      <c r="CN110" s="53"/>
      <c r="CO110" s="31"/>
      <c r="CP110" s="53"/>
      <c r="CQ110" s="21">
        <f>SUM(CQ101:CQ108)</f>
        <v>49978284.82000002</v>
      </c>
      <c r="CR110" s="12"/>
      <c r="CS110" s="22">
        <f>SUM(CS101:CS108)</f>
        <v>8366</v>
      </c>
      <c r="CT110" s="12"/>
      <c r="CU110" s="53"/>
      <c r="CV110" s="31"/>
      <c r="CW110" s="53"/>
      <c r="CX110" s="21">
        <f>SUM(CX101:CX108)</f>
        <v>46346909.100000024</v>
      </c>
      <c r="CY110" s="12"/>
      <c r="CZ110" s="22">
        <f>SUM(CZ101:CZ108)</f>
        <v>7813</v>
      </c>
      <c r="DA110" s="12"/>
      <c r="DB110" s="53"/>
      <c r="DC110" s="31"/>
      <c r="DD110" s="53"/>
    </row>
    <row r="111" spans="1:108" ht="13.5" thickTop="1">
      <c r="A111" s="8"/>
      <c r="B111" s="12"/>
      <c r="C111" s="12"/>
      <c r="D111" s="30"/>
      <c r="E111" s="12"/>
      <c r="F111" s="31"/>
      <c r="G111" s="12"/>
      <c r="H111" s="8"/>
      <c r="I111" s="8"/>
      <c r="J111" s="30"/>
      <c r="K111" s="12"/>
      <c r="L111" s="31"/>
      <c r="M111" s="12"/>
      <c r="N111" s="53"/>
      <c r="O111" s="31"/>
      <c r="P111" s="53"/>
      <c r="Q111" s="8"/>
      <c r="R111" s="30"/>
      <c r="S111" s="12"/>
      <c r="T111" s="31"/>
      <c r="U111" s="12"/>
      <c r="V111" s="53"/>
      <c r="W111" s="31"/>
      <c r="X111" s="53"/>
      <c r="Y111" s="30"/>
      <c r="Z111" s="12"/>
      <c r="AA111" s="31"/>
      <c r="AB111" s="12"/>
      <c r="AC111" s="53"/>
      <c r="AD111" s="31"/>
      <c r="AE111" s="53"/>
      <c r="AF111" s="30"/>
      <c r="AG111" s="12"/>
      <c r="AH111" s="31"/>
      <c r="AI111" s="12"/>
      <c r="AJ111" s="53"/>
      <c r="AK111" s="31"/>
      <c r="AL111" s="53"/>
      <c r="AM111" s="30"/>
      <c r="AN111" s="12"/>
      <c r="AO111" s="31"/>
      <c r="AP111" s="12"/>
      <c r="AQ111" s="53"/>
      <c r="AR111" s="31"/>
      <c r="AS111" s="53"/>
      <c r="AT111" s="30"/>
      <c r="AU111" s="12"/>
      <c r="AV111" s="31"/>
      <c r="AW111" s="12"/>
      <c r="AX111" s="53"/>
      <c r="AY111" s="31"/>
      <c r="AZ111" s="53"/>
      <c r="BA111" s="30"/>
      <c r="BB111" s="12"/>
      <c r="BC111" s="31"/>
      <c r="BD111" s="12"/>
      <c r="BE111" s="53"/>
      <c r="BF111" s="31"/>
      <c r="BG111" s="53"/>
      <c r="BH111" s="30"/>
      <c r="BI111" s="12"/>
      <c r="BJ111" s="31"/>
      <c r="BK111" s="12"/>
      <c r="BL111" s="53"/>
      <c r="BM111" s="31"/>
      <c r="BN111" s="53"/>
      <c r="BO111" s="30"/>
      <c r="BP111" s="12"/>
      <c r="BQ111" s="31"/>
      <c r="BR111" s="12"/>
      <c r="BS111" s="53"/>
      <c r="BT111" s="31"/>
      <c r="BU111" s="53"/>
      <c r="BV111" s="30"/>
      <c r="BW111" s="12"/>
      <c r="BX111" s="31"/>
      <c r="BY111" s="12"/>
      <c r="BZ111" s="53"/>
      <c r="CA111" s="31"/>
      <c r="CB111" s="53"/>
      <c r="CC111" s="30"/>
      <c r="CD111" s="12"/>
      <c r="CE111" s="31"/>
      <c r="CF111" s="12"/>
      <c r="CG111" s="53"/>
      <c r="CH111" s="31"/>
      <c r="CI111" s="53"/>
      <c r="CJ111" s="30"/>
      <c r="CK111" s="12"/>
      <c r="CL111" s="31"/>
      <c r="CM111" s="12"/>
      <c r="CN111" s="53"/>
      <c r="CO111" s="31"/>
      <c r="CP111" s="53"/>
      <c r="CQ111" s="30"/>
      <c r="CR111" s="12"/>
      <c r="CS111" s="31"/>
      <c r="CT111" s="12"/>
      <c r="CU111" s="53"/>
      <c r="CV111" s="31"/>
      <c r="CW111" s="53"/>
      <c r="CX111" s="30"/>
      <c r="CY111" s="12"/>
      <c r="CZ111" s="31"/>
      <c r="DA111" s="12"/>
      <c r="DB111" s="53"/>
      <c r="DC111" s="31"/>
      <c r="DD111" s="53"/>
    </row>
    <row r="112" spans="1:108" ht="12.75">
      <c r="A112" s="8"/>
      <c r="B112" s="8"/>
      <c r="C112" s="8"/>
      <c r="D112" s="10"/>
      <c r="E112" s="8"/>
      <c r="F112" s="10"/>
      <c r="G112" s="8"/>
      <c r="H112" s="8"/>
      <c r="I112" s="8"/>
      <c r="J112" s="8"/>
      <c r="K112" s="8"/>
      <c r="L112" s="8"/>
      <c r="M112" s="10"/>
      <c r="N112" s="8"/>
      <c r="O112" s="10"/>
      <c r="P112" s="8"/>
      <c r="Q112" s="8"/>
      <c r="R112" s="8"/>
      <c r="S112" s="8"/>
      <c r="T112" s="8"/>
      <c r="U112" s="10"/>
      <c r="V112" s="8"/>
      <c r="W112" s="10"/>
      <c r="X112" s="8"/>
      <c r="Y112" s="8"/>
      <c r="Z112" s="8"/>
      <c r="AA112" s="8"/>
      <c r="AB112" s="10"/>
      <c r="AC112" s="8"/>
      <c r="AD112" s="10"/>
      <c r="AE112" s="8"/>
      <c r="AF112" s="8"/>
      <c r="AG112" s="8"/>
      <c r="AH112" s="8"/>
      <c r="AI112" s="10"/>
      <c r="AJ112" s="8"/>
      <c r="AK112" s="10"/>
      <c r="AL112" s="8"/>
      <c r="AM112" s="8"/>
      <c r="AN112" s="8"/>
      <c r="AO112" s="8"/>
      <c r="AP112" s="10"/>
      <c r="AQ112" s="8"/>
      <c r="AR112" s="10"/>
      <c r="AS112" s="8"/>
      <c r="AT112" s="8"/>
      <c r="AU112" s="8"/>
      <c r="AV112" s="8"/>
      <c r="AW112" s="10"/>
      <c r="AX112" s="8"/>
      <c r="AY112" s="10"/>
      <c r="AZ112" s="8"/>
      <c r="BA112" s="8"/>
      <c r="BB112" s="8"/>
      <c r="BC112" s="8"/>
      <c r="BD112" s="10"/>
      <c r="BE112" s="8"/>
      <c r="BF112" s="10"/>
      <c r="BG112" s="8"/>
      <c r="BH112" s="8"/>
      <c r="BI112" s="8"/>
      <c r="BJ112" s="8"/>
      <c r="BK112" s="10"/>
      <c r="BL112" s="8"/>
      <c r="BM112" s="10"/>
      <c r="BN112" s="8"/>
      <c r="BO112" s="8"/>
      <c r="BP112" s="8"/>
      <c r="BQ112" s="8"/>
      <c r="BR112" s="10"/>
      <c r="BS112" s="8"/>
      <c r="BT112" s="10"/>
      <c r="BU112" s="8"/>
      <c r="BV112" s="8"/>
      <c r="BW112" s="8"/>
      <c r="BX112" s="8"/>
      <c r="BY112" s="10"/>
      <c r="BZ112" s="8"/>
      <c r="CA112" s="10"/>
      <c r="CB112" s="8"/>
      <c r="CC112" s="8"/>
      <c r="CD112" s="8"/>
      <c r="CE112" s="8"/>
      <c r="CF112" s="10"/>
      <c r="CG112" s="8"/>
      <c r="CH112" s="10"/>
      <c r="CI112" s="8"/>
      <c r="CJ112" s="8"/>
      <c r="CK112" s="8"/>
      <c r="CL112" s="8"/>
      <c r="CM112" s="10"/>
      <c r="CN112" s="8"/>
      <c r="CO112" s="10"/>
      <c r="CP112" s="8"/>
      <c r="CQ112" s="8"/>
      <c r="CR112" s="8"/>
      <c r="CS112" s="8"/>
      <c r="CT112" s="10"/>
      <c r="CU112" s="8"/>
      <c r="CV112" s="10"/>
      <c r="CW112" s="8"/>
      <c r="CX112" s="8"/>
      <c r="CY112" s="8"/>
      <c r="CZ112" s="8"/>
      <c r="DA112" s="10"/>
      <c r="DB112" s="8"/>
      <c r="DC112" s="10"/>
      <c r="DD112" s="8"/>
    </row>
    <row r="113" spans="1:108" ht="12.75">
      <c r="A113" s="39"/>
      <c r="B113" s="34"/>
      <c r="C113" s="34"/>
      <c r="D113" s="35"/>
      <c r="E113" s="34"/>
      <c r="F113" s="36"/>
      <c r="G113" s="34"/>
      <c r="H113" s="34"/>
      <c r="I113" s="34"/>
      <c r="J113" s="69"/>
      <c r="K113" s="54"/>
      <c r="L113" s="54"/>
      <c r="M113" s="63"/>
      <c r="N113" s="54"/>
      <c r="O113" s="55"/>
      <c r="P113" s="54"/>
      <c r="Q113" s="8"/>
      <c r="R113" s="69"/>
      <c r="S113" s="54"/>
      <c r="T113" s="54"/>
      <c r="U113" s="63"/>
      <c r="V113" s="54"/>
      <c r="W113" s="55"/>
      <c r="X113" s="54"/>
      <c r="Y113" s="69"/>
      <c r="Z113" s="54"/>
      <c r="AA113" s="54"/>
      <c r="AB113" s="63"/>
      <c r="AC113" s="54"/>
      <c r="AD113" s="55"/>
      <c r="AE113" s="54"/>
      <c r="AF113" s="69"/>
      <c r="AG113" s="54"/>
      <c r="AH113" s="54"/>
      <c r="AI113" s="63"/>
      <c r="AJ113" s="54"/>
      <c r="AK113" s="55"/>
      <c r="AL113" s="54"/>
      <c r="AM113" s="69"/>
      <c r="AN113" s="54"/>
      <c r="AO113" s="54"/>
      <c r="AP113" s="63"/>
      <c r="AQ113" s="54"/>
      <c r="AR113" s="55"/>
      <c r="AS113" s="54"/>
      <c r="AT113" s="69"/>
      <c r="AU113" s="54"/>
      <c r="AV113" s="54"/>
      <c r="AW113" s="63"/>
      <c r="AX113" s="54"/>
      <c r="AY113" s="55"/>
      <c r="AZ113" s="54"/>
      <c r="BA113" s="69"/>
      <c r="BB113" s="54"/>
      <c r="BC113" s="54"/>
      <c r="BD113" s="63"/>
      <c r="BE113" s="54"/>
      <c r="BF113" s="55"/>
      <c r="BG113" s="54"/>
      <c r="BH113" s="69"/>
      <c r="BI113" s="54"/>
      <c r="BJ113" s="54"/>
      <c r="BK113" s="63"/>
      <c r="BL113" s="54"/>
      <c r="BM113" s="55"/>
      <c r="BN113" s="54"/>
      <c r="BO113" s="69"/>
      <c r="BP113" s="54"/>
      <c r="BQ113" s="54"/>
      <c r="BR113" s="63"/>
      <c r="BS113" s="54"/>
      <c r="BT113" s="55"/>
      <c r="BU113" s="54"/>
      <c r="BV113" s="69"/>
      <c r="BW113" s="54"/>
      <c r="BX113" s="54"/>
      <c r="BY113" s="63"/>
      <c r="BZ113" s="54"/>
      <c r="CA113" s="55"/>
      <c r="CB113" s="54"/>
      <c r="CC113" s="69"/>
      <c r="CD113" s="54"/>
      <c r="CE113" s="54"/>
      <c r="CF113" s="63"/>
      <c r="CG113" s="54"/>
      <c r="CH113" s="55"/>
      <c r="CI113" s="54"/>
      <c r="CJ113" s="69"/>
      <c r="CK113" s="54"/>
      <c r="CL113" s="54"/>
      <c r="CM113" s="63"/>
      <c r="CN113" s="54"/>
      <c r="CO113" s="55"/>
      <c r="CP113" s="54"/>
      <c r="CQ113" s="69"/>
      <c r="CR113" s="54"/>
      <c r="CS113" s="54"/>
      <c r="CT113" s="63"/>
      <c r="CU113" s="54"/>
      <c r="CV113" s="55"/>
      <c r="CW113" s="54"/>
      <c r="CX113" s="69"/>
      <c r="CY113" s="54"/>
      <c r="CZ113" s="54"/>
      <c r="DA113" s="63"/>
      <c r="DB113" s="54"/>
      <c r="DC113" s="55"/>
      <c r="DD113" s="54"/>
    </row>
    <row r="114" spans="1:108" ht="12.75">
      <c r="A114" s="12" t="s">
        <v>104</v>
      </c>
      <c r="B114" s="34"/>
      <c r="C114" s="34"/>
      <c r="D114" s="35"/>
      <c r="E114" s="34"/>
      <c r="F114" s="36"/>
      <c r="G114" s="34"/>
      <c r="H114" s="34"/>
      <c r="I114" s="34"/>
      <c r="J114" s="69"/>
      <c r="K114" s="54"/>
      <c r="L114" s="54"/>
      <c r="M114" s="63"/>
      <c r="N114" s="54"/>
      <c r="O114" s="55"/>
      <c r="P114" s="54"/>
      <c r="Q114" s="8"/>
      <c r="R114" s="69"/>
      <c r="S114" s="54"/>
      <c r="T114" s="54"/>
      <c r="U114" s="63"/>
      <c r="V114" s="54"/>
      <c r="W114" s="55"/>
      <c r="X114" s="54"/>
      <c r="Y114" s="69"/>
      <c r="Z114" s="54"/>
      <c r="AA114" s="54"/>
      <c r="AB114" s="63"/>
      <c r="AC114" s="54"/>
      <c r="AD114" s="55"/>
      <c r="AE114" s="54"/>
      <c r="AF114" s="69"/>
      <c r="AG114" s="54"/>
      <c r="AH114" s="54"/>
      <c r="AI114" s="63"/>
      <c r="AJ114" s="54"/>
      <c r="AK114" s="55"/>
      <c r="AL114" s="54"/>
      <c r="AM114" s="69"/>
      <c r="AN114" s="54"/>
      <c r="AO114" s="54"/>
      <c r="AP114" s="63"/>
      <c r="AQ114" s="54"/>
      <c r="AR114" s="55"/>
      <c r="AS114" s="54"/>
      <c r="AT114" s="69"/>
      <c r="AU114" s="54"/>
      <c r="AV114" s="54"/>
      <c r="AW114" s="63"/>
      <c r="AX114" s="54"/>
      <c r="AY114" s="55"/>
      <c r="AZ114" s="54"/>
      <c r="BA114" s="69"/>
      <c r="BB114" s="54"/>
      <c r="BC114" s="54"/>
      <c r="BD114" s="63"/>
      <c r="BE114" s="54"/>
      <c r="BF114" s="55"/>
      <c r="BG114" s="54"/>
      <c r="BH114" s="69"/>
      <c r="BI114" s="54"/>
      <c r="BJ114" s="54"/>
      <c r="BK114" s="63"/>
      <c r="BL114" s="54"/>
      <c r="BM114" s="55"/>
      <c r="BN114" s="54"/>
      <c r="BO114" s="69"/>
      <c r="BP114" s="54"/>
      <c r="BQ114" s="54"/>
      <c r="BR114" s="63"/>
      <c r="BS114" s="54"/>
      <c r="BT114" s="55"/>
      <c r="BU114" s="54"/>
      <c r="BV114" s="69"/>
      <c r="BW114" s="54"/>
      <c r="BX114" s="54"/>
      <c r="BY114" s="63"/>
      <c r="BZ114" s="54"/>
      <c r="CA114" s="55"/>
      <c r="CB114" s="54"/>
      <c r="CC114" s="69"/>
      <c r="CD114" s="54"/>
      <c r="CE114" s="54"/>
      <c r="CF114" s="63"/>
      <c r="CG114" s="54"/>
      <c r="CH114" s="55"/>
      <c r="CI114" s="54"/>
      <c r="CJ114" s="96"/>
      <c r="CK114" s="97"/>
      <c r="CL114" s="54"/>
      <c r="CM114" s="63"/>
      <c r="CN114" s="54"/>
      <c r="CO114" s="55"/>
      <c r="CP114" s="54"/>
      <c r="CQ114" s="96"/>
      <c r="CR114" s="97"/>
      <c r="CS114" s="54"/>
      <c r="CT114" s="63"/>
      <c r="CU114" s="54"/>
      <c r="CV114" s="55"/>
      <c r="CW114" s="54"/>
      <c r="CX114" s="96"/>
      <c r="CY114" s="97"/>
      <c r="CZ114" s="54"/>
      <c r="DA114" s="63"/>
      <c r="DB114" s="54"/>
      <c r="DC114" s="55"/>
      <c r="DD114" s="54"/>
    </row>
    <row r="115" spans="1:108" ht="12.75">
      <c r="A115" s="12" t="s">
        <v>139</v>
      </c>
      <c r="B115" s="34"/>
      <c r="C115" s="34"/>
      <c r="D115" s="35"/>
      <c r="E115" s="34"/>
      <c r="F115" s="36"/>
      <c r="G115" s="34"/>
      <c r="H115" s="34"/>
      <c r="I115" s="34"/>
      <c r="J115" s="54"/>
      <c r="K115" s="53"/>
      <c r="L115" s="53"/>
      <c r="M115" s="30"/>
      <c r="N115" s="53"/>
      <c r="O115" s="31"/>
      <c r="P115" s="53"/>
      <c r="Q115" s="8"/>
      <c r="R115" s="54"/>
      <c r="S115" s="53"/>
      <c r="T115" s="53"/>
      <c r="U115" s="30"/>
      <c r="V115" s="53"/>
      <c r="W115" s="31"/>
      <c r="X115" s="53"/>
      <c r="Y115" s="54"/>
      <c r="Z115" s="53"/>
      <c r="AA115" s="53"/>
      <c r="AB115" s="30"/>
      <c r="AC115" s="53"/>
      <c r="AD115" s="31"/>
      <c r="AE115" s="53"/>
      <c r="AF115" s="54"/>
      <c r="AG115" s="53"/>
      <c r="AH115" s="53"/>
      <c r="AI115" s="30"/>
      <c r="AJ115" s="53"/>
      <c r="AK115" s="31"/>
      <c r="AL115" s="53"/>
      <c r="AM115" s="54"/>
      <c r="AN115" s="53"/>
      <c r="AO115" s="53"/>
      <c r="AP115" s="30"/>
      <c r="AQ115" s="53"/>
      <c r="AR115" s="31"/>
      <c r="AS115" s="53"/>
      <c r="AT115" s="54"/>
      <c r="AU115" s="53"/>
      <c r="AV115" s="53"/>
      <c r="AW115" s="30"/>
      <c r="AX115" s="53"/>
      <c r="AY115" s="31"/>
      <c r="AZ115" s="53"/>
      <c r="BA115" s="54"/>
      <c r="BB115" s="53"/>
      <c r="BC115" s="53"/>
      <c r="BD115" s="30"/>
      <c r="BE115" s="53"/>
      <c r="BF115" s="31"/>
      <c r="BG115" s="53"/>
      <c r="BH115" s="54"/>
      <c r="BI115" s="53"/>
      <c r="BJ115" s="53"/>
      <c r="BK115" s="30"/>
      <c r="BL115" s="53"/>
      <c r="BM115" s="31"/>
      <c r="BN115" s="53"/>
      <c r="BO115" s="54"/>
      <c r="BP115" s="53"/>
      <c r="BQ115" s="53"/>
      <c r="BR115" s="30"/>
      <c r="BS115" s="53"/>
      <c r="BT115" s="31"/>
      <c r="BU115" s="53"/>
      <c r="BV115" s="54"/>
      <c r="BW115" s="53"/>
      <c r="BX115" s="53"/>
      <c r="BY115" s="30"/>
      <c r="BZ115" s="53"/>
      <c r="CA115" s="31"/>
      <c r="CB115" s="53"/>
      <c r="CC115" s="54"/>
      <c r="CD115" s="53"/>
      <c r="CE115" s="53"/>
      <c r="CF115" s="30"/>
      <c r="CG115" s="53"/>
      <c r="CH115" s="31"/>
      <c r="CI115" s="53"/>
      <c r="CJ115" s="54"/>
      <c r="CK115" s="53"/>
      <c r="CL115" s="53"/>
      <c r="CM115" s="30"/>
      <c r="CN115" s="53"/>
      <c r="CO115" s="31"/>
      <c r="CP115" s="53"/>
      <c r="CQ115" s="54"/>
      <c r="CR115" s="53"/>
      <c r="CS115" s="53"/>
      <c r="CT115" s="30"/>
      <c r="CU115" s="53"/>
      <c r="CV115" s="31"/>
      <c r="CW115" s="53"/>
      <c r="CX115" s="54"/>
      <c r="CY115" s="53"/>
      <c r="CZ115" s="53"/>
      <c r="DA115" s="30"/>
      <c r="DB115" s="53"/>
      <c r="DC115" s="31"/>
      <c r="DD115" s="53"/>
    </row>
    <row r="116" spans="1:108" s="1" customFormat="1" ht="12.75">
      <c r="A116" s="34"/>
      <c r="B116" s="39"/>
      <c r="C116" s="39"/>
      <c r="D116" s="40"/>
      <c r="E116" s="41"/>
      <c r="F116" s="42"/>
      <c r="G116" s="41"/>
      <c r="H116" s="39"/>
      <c r="I116" s="39"/>
      <c r="J116" s="53"/>
      <c r="K116" s="54"/>
      <c r="L116" s="54"/>
      <c r="M116" s="63"/>
      <c r="N116" s="54"/>
      <c r="O116" s="55"/>
      <c r="P116" s="54"/>
      <c r="Q116" s="8"/>
      <c r="R116" s="53"/>
      <c r="S116" s="54"/>
      <c r="T116" s="54"/>
      <c r="U116" s="63"/>
      <c r="V116" s="54"/>
      <c r="W116" s="55"/>
      <c r="X116" s="54"/>
      <c r="Y116" s="53"/>
      <c r="Z116" s="54"/>
      <c r="AA116" s="54"/>
      <c r="AB116" s="63"/>
      <c r="AC116" s="54"/>
      <c r="AD116" s="55"/>
      <c r="AE116" s="54"/>
      <c r="AF116" s="53"/>
      <c r="AG116" s="54"/>
      <c r="AH116" s="54"/>
      <c r="AI116" s="63"/>
      <c r="AJ116" s="54"/>
      <c r="AK116" s="55"/>
      <c r="AL116" s="54"/>
      <c r="AM116" s="53"/>
      <c r="AN116" s="54"/>
      <c r="AO116" s="54"/>
      <c r="AP116" s="63"/>
      <c r="AQ116" s="54"/>
      <c r="AR116" s="55"/>
      <c r="AS116" s="54"/>
      <c r="AT116" s="53"/>
      <c r="AU116" s="54"/>
      <c r="AV116" s="54"/>
      <c r="AW116" s="63"/>
      <c r="AX116" s="54"/>
      <c r="AY116" s="55"/>
      <c r="AZ116" s="54"/>
      <c r="BA116" s="53"/>
      <c r="BB116" s="54"/>
      <c r="BC116" s="54"/>
      <c r="BD116" s="63"/>
      <c r="BE116" s="54"/>
      <c r="BF116" s="55"/>
      <c r="BG116" s="54"/>
      <c r="BH116" s="53"/>
      <c r="BI116" s="54"/>
      <c r="BJ116" s="54"/>
      <c r="BK116" s="63"/>
      <c r="BL116" s="54"/>
      <c r="BM116" s="55"/>
      <c r="BN116" s="54"/>
      <c r="BO116" s="53"/>
      <c r="BP116" s="54"/>
      <c r="BQ116" s="54"/>
      <c r="BR116" s="63"/>
      <c r="BS116" s="54"/>
      <c r="BT116" s="55"/>
      <c r="BU116" s="54"/>
      <c r="BV116" s="53"/>
      <c r="BW116" s="54"/>
      <c r="BX116" s="54"/>
      <c r="BY116" s="63"/>
      <c r="BZ116" s="54"/>
      <c r="CA116" s="55"/>
      <c r="CB116" s="54"/>
      <c r="CC116" s="53"/>
      <c r="CD116" s="54"/>
      <c r="CE116" s="54"/>
      <c r="CF116" s="63"/>
      <c r="CG116" s="54"/>
      <c r="CH116" s="55"/>
      <c r="CI116" s="54"/>
      <c r="CJ116" s="53"/>
      <c r="CK116" s="54"/>
      <c r="CL116" s="54"/>
      <c r="CM116" s="63"/>
      <c r="CN116" s="54"/>
      <c r="CO116" s="55"/>
      <c r="CP116" s="54"/>
      <c r="CQ116" s="53"/>
      <c r="CR116" s="54"/>
      <c r="CS116" s="54"/>
      <c r="CT116" s="63"/>
      <c r="CU116" s="54"/>
      <c r="CV116" s="55"/>
      <c r="CW116" s="54"/>
      <c r="CX116" s="53"/>
      <c r="CY116" s="54"/>
      <c r="CZ116" s="54"/>
      <c r="DA116" s="63"/>
      <c r="DB116" s="54"/>
      <c r="DC116" s="55"/>
      <c r="DD116" s="54"/>
    </row>
    <row r="117" spans="1:26" ht="12.75">
      <c r="A117" s="1"/>
      <c r="D117" s="2"/>
      <c r="J117" s="49"/>
      <c r="K117" s="49"/>
      <c r="L117" s="49"/>
      <c r="M117" s="50"/>
      <c r="N117" s="61"/>
      <c r="O117" s="51"/>
      <c r="P117" s="61"/>
      <c r="R117" s="49"/>
      <c r="S117" s="49"/>
      <c r="T117" s="49"/>
      <c r="U117" s="50"/>
      <c r="V117" s="61"/>
      <c r="W117" s="51"/>
      <c r="X117" s="61"/>
      <c r="Y117" s="49"/>
      <c r="Z117" s="49"/>
    </row>
    <row r="118" spans="4:26" ht="12.75">
      <c r="D118" s="2"/>
      <c r="J118" s="49"/>
      <c r="K118" s="49"/>
      <c r="L118" s="49"/>
      <c r="M118" s="50"/>
      <c r="N118" s="61"/>
      <c r="O118" s="51"/>
      <c r="P118" s="61"/>
      <c r="R118" s="49"/>
      <c r="S118" s="49"/>
      <c r="T118" s="49"/>
      <c r="U118" s="50"/>
      <c r="V118" s="61"/>
      <c r="W118" s="51"/>
      <c r="X118" s="61"/>
      <c r="Y118" s="49"/>
      <c r="Z118" s="49"/>
    </row>
    <row r="119" spans="4:26" ht="12.75">
      <c r="D119" s="2"/>
      <c r="J119" s="49"/>
      <c r="K119" s="49"/>
      <c r="L119" s="49"/>
      <c r="M119" s="50"/>
      <c r="N119" s="61"/>
      <c r="O119" s="51"/>
      <c r="P119" s="61"/>
      <c r="R119" s="49"/>
      <c r="S119" s="49"/>
      <c r="T119" s="49"/>
      <c r="U119" s="50"/>
      <c r="V119" s="61"/>
      <c r="W119" s="51"/>
      <c r="X119" s="61"/>
      <c r="Y119" s="49"/>
      <c r="Z119" s="49"/>
    </row>
    <row r="120" spans="4:26" ht="12.75">
      <c r="D120" s="2"/>
      <c r="J120" s="49"/>
      <c r="K120" s="49"/>
      <c r="L120" s="49"/>
      <c r="M120" s="50"/>
      <c r="N120" s="61"/>
      <c r="O120" s="51"/>
      <c r="P120" s="61"/>
      <c r="R120" s="49"/>
      <c r="S120" s="49"/>
      <c r="T120" s="49"/>
      <c r="U120" s="50"/>
      <c r="V120" s="61"/>
      <c r="W120" s="51"/>
      <c r="X120" s="61"/>
      <c r="Y120" s="49"/>
      <c r="Z120" s="49"/>
    </row>
    <row r="121" spans="4:26" ht="12.75">
      <c r="D121" s="2"/>
      <c r="J121" s="49"/>
      <c r="K121" s="49"/>
      <c r="L121" s="49"/>
      <c r="M121" s="50"/>
      <c r="N121" s="61"/>
      <c r="O121" s="51"/>
      <c r="P121" s="61"/>
      <c r="R121" s="49"/>
      <c r="S121" s="49"/>
      <c r="T121" s="49"/>
      <c r="U121" s="50"/>
      <c r="V121" s="61"/>
      <c r="W121" s="51"/>
      <c r="X121" s="61"/>
      <c r="Y121" s="49"/>
      <c r="Z121" s="49"/>
    </row>
    <row r="122" spans="4:26" ht="12.75">
      <c r="D122" s="2"/>
      <c r="J122" s="49"/>
      <c r="K122" s="49"/>
      <c r="L122" s="49"/>
      <c r="M122" s="50"/>
      <c r="N122" s="61"/>
      <c r="O122" s="51"/>
      <c r="P122" s="61"/>
      <c r="R122" s="49"/>
      <c r="S122" s="49"/>
      <c r="T122" s="49"/>
      <c r="U122" s="50"/>
      <c r="V122" s="61"/>
      <c r="W122" s="51"/>
      <c r="X122" s="61"/>
      <c r="Y122" s="49"/>
      <c r="Z122" s="49"/>
    </row>
    <row r="123" spans="4:26" ht="12.75">
      <c r="D123" s="2"/>
      <c r="J123" s="49"/>
      <c r="K123" s="49"/>
      <c r="L123" s="49"/>
      <c r="M123" s="50"/>
      <c r="N123" s="61"/>
      <c r="O123" s="51"/>
      <c r="P123" s="61"/>
      <c r="R123" s="49"/>
      <c r="S123" s="49"/>
      <c r="T123" s="49"/>
      <c r="U123" s="50"/>
      <c r="V123" s="61"/>
      <c r="W123" s="51"/>
      <c r="X123" s="61"/>
      <c r="Y123" s="49"/>
      <c r="Z123" s="49"/>
    </row>
    <row r="124" spans="4:26" ht="12.75">
      <c r="D124" s="2"/>
      <c r="J124" s="49"/>
      <c r="K124" s="49"/>
      <c r="L124" s="49"/>
      <c r="M124" s="50"/>
      <c r="N124" s="61"/>
      <c r="O124" s="51"/>
      <c r="P124" s="61"/>
      <c r="R124" s="49"/>
      <c r="S124" s="49"/>
      <c r="T124" s="49"/>
      <c r="U124" s="50"/>
      <c r="V124" s="61"/>
      <c r="W124" s="51"/>
      <c r="X124" s="61"/>
      <c r="Y124" s="49"/>
      <c r="Z124" s="49"/>
    </row>
    <row r="125" spans="4:26" ht="12.75">
      <c r="D125" s="2"/>
      <c r="J125" s="49"/>
      <c r="K125" s="49"/>
      <c r="L125" s="49"/>
      <c r="M125" s="50"/>
      <c r="N125" s="61"/>
      <c r="O125" s="51"/>
      <c r="P125" s="61"/>
      <c r="R125" s="49"/>
      <c r="S125" s="49"/>
      <c r="T125" s="49"/>
      <c r="U125" s="50"/>
      <c r="V125" s="61"/>
      <c r="W125" s="51"/>
      <c r="X125" s="61"/>
      <c r="Y125" s="49"/>
      <c r="Z125" s="49"/>
    </row>
    <row r="126" spans="4:26" ht="12.75">
      <c r="D126" s="2"/>
      <c r="J126" s="49"/>
      <c r="K126" s="49"/>
      <c r="L126" s="49"/>
      <c r="M126" s="50"/>
      <c r="N126" s="49"/>
      <c r="O126" s="51"/>
      <c r="P126" s="49"/>
      <c r="R126" s="49"/>
      <c r="S126" s="49"/>
      <c r="T126" s="49"/>
      <c r="U126" s="50"/>
      <c r="V126" s="49"/>
      <c r="W126" s="51"/>
      <c r="X126" s="49"/>
      <c r="Y126" s="49"/>
      <c r="Z126" s="49"/>
    </row>
    <row r="127" spans="4:26" ht="12.75">
      <c r="D127" s="2"/>
      <c r="J127" s="49"/>
      <c r="K127" s="60"/>
      <c r="L127" s="60"/>
      <c r="M127" s="47"/>
      <c r="N127" s="60"/>
      <c r="O127" s="48"/>
      <c r="P127" s="62"/>
      <c r="Q127" s="1"/>
      <c r="R127" s="49"/>
      <c r="S127" s="60"/>
      <c r="T127" s="60"/>
      <c r="U127" s="47"/>
      <c r="V127" s="60"/>
      <c r="W127" s="48"/>
      <c r="X127" s="62"/>
      <c r="Y127" s="49"/>
      <c r="Z127" s="49"/>
    </row>
    <row r="128" spans="4:26" ht="12.75">
      <c r="D128" s="2"/>
      <c r="J128" s="49"/>
      <c r="K128" s="49"/>
      <c r="L128" s="49"/>
      <c r="M128" s="49"/>
      <c r="N128" s="49"/>
      <c r="O128" s="49"/>
      <c r="P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4:16" ht="12.75">
      <c r="D129" s="2"/>
      <c r="J129" s="49"/>
      <c r="K129" s="49"/>
      <c r="L129" s="49"/>
      <c r="M129" s="49"/>
      <c r="N129" s="49"/>
      <c r="O129" s="49"/>
      <c r="P129" s="49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</sheetData>
  <mergeCells count="30">
    <mergeCell ref="R1:X1"/>
    <mergeCell ref="R4:X4"/>
    <mergeCell ref="AT1:AX1"/>
    <mergeCell ref="AT4:AZ4"/>
    <mergeCell ref="Y1:AE1"/>
    <mergeCell ref="Y4:AE4"/>
    <mergeCell ref="AM4:AS4"/>
    <mergeCell ref="AM1:AQ1"/>
    <mergeCell ref="A1:G1"/>
    <mergeCell ref="A4:G4"/>
    <mergeCell ref="J1:P1"/>
    <mergeCell ref="J4:P4"/>
    <mergeCell ref="BA1:BE1"/>
    <mergeCell ref="BA4:BG4"/>
    <mergeCell ref="AF1:AL1"/>
    <mergeCell ref="AF4:AL4"/>
    <mergeCell ref="BH1:BL1"/>
    <mergeCell ref="BH4:BN4"/>
    <mergeCell ref="BO1:BS1"/>
    <mergeCell ref="BO4:BU4"/>
    <mergeCell ref="CX1:DB1"/>
    <mergeCell ref="CX4:DD4"/>
    <mergeCell ref="BV1:BZ1"/>
    <mergeCell ref="BV4:CB4"/>
    <mergeCell ref="CC1:CG1"/>
    <mergeCell ref="CC4:CI4"/>
    <mergeCell ref="CQ1:CU1"/>
    <mergeCell ref="CQ4:CW4"/>
    <mergeCell ref="CJ1:CN1"/>
    <mergeCell ref="CJ4:CP4"/>
  </mergeCells>
  <printOptions/>
  <pageMargins left="0" right="0" top="0.5905511811023623" bottom="0.5905511811023623" header="0.5118110236220472" footer="0.5118110236220472"/>
  <pageSetup horizontalDpi="600" verticalDpi="600" orientation="landscape" paperSize="9" scale="12" r:id="rId1"/>
  <colBreaks count="2" manualBreakCount="2">
    <brk id="31" max="115" man="1"/>
    <brk id="44" max="1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A181"/>
  <sheetViews>
    <sheetView view="pageBreakPreview" zoomScale="60" workbookViewId="0" topLeftCell="CP1">
      <selection activeCell="CU1" sqref="CU1:DA1"/>
    </sheetView>
  </sheetViews>
  <sheetFormatPr defaultColWidth="9.140625" defaultRowHeight="12.75"/>
  <cols>
    <col min="1" max="1" width="14.57421875" style="0" customWidth="1"/>
    <col min="3" max="3" width="16.28125" style="0" customWidth="1"/>
    <col min="4" max="4" width="26.140625" style="0" customWidth="1"/>
    <col min="5" max="5" width="14.00390625" style="0" customWidth="1"/>
    <col min="6" max="6" width="16.7109375" style="3" bestFit="1" customWidth="1"/>
    <col min="7" max="8" width="14.421875" style="0" customWidth="1"/>
    <col min="9" max="9" width="26.421875" style="0" customWidth="1"/>
    <col min="10" max="10" width="12.28125" style="0" customWidth="1"/>
    <col min="11" max="11" width="17.57421875" style="0" bestFit="1" customWidth="1"/>
    <col min="12" max="12" width="13.28125" style="0" customWidth="1"/>
    <col min="13" max="13" width="14.421875" style="0" customWidth="1"/>
    <col min="14" max="14" width="13.7109375" style="0" customWidth="1"/>
    <col min="15" max="15" width="12.00390625" style="0" customWidth="1"/>
    <col min="16" max="16" width="33.7109375" style="0" customWidth="1"/>
    <col min="17" max="17" width="13.8515625" style="0" customWidth="1"/>
    <col min="18" max="18" width="13.00390625" style="0" customWidth="1"/>
    <col min="19" max="19" width="12.28125" style="0" customWidth="1"/>
    <col min="22" max="22" width="14.28125" style="0" customWidth="1"/>
    <col min="23" max="23" width="27.7109375" style="0" customWidth="1"/>
    <col min="24" max="24" width="13.421875" style="0" customWidth="1"/>
    <col min="25" max="25" width="15.8515625" style="0" customWidth="1"/>
    <col min="26" max="27" width="12.7109375" style="0" customWidth="1"/>
    <col min="28" max="28" width="11.57421875" style="0" customWidth="1"/>
    <col min="29" max="29" width="13.00390625" style="0" customWidth="1"/>
    <col min="30" max="30" width="32.7109375" style="0" customWidth="1"/>
    <col min="31" max="31" width="17.00390625" style="0" customWidth="1"/>
    <col min="32" max="32" width="23.28125" style="0" customWidth="1"/>
    <col min="33" max="33" width="16.57421875" style="0" customWidth="1"/>
    <col min="34" max="34" width="16.00390625" style="0" customWidth="1"/>
    <col min="37" max="37" width="38.421875" style="0" customWidth="1"/>
    <col min="38" max="38" width="24.421875" style="0" customWidth="1"/>
    <col min="39" max="39" width="22.28125" style="0" customWidth="1"/>
    <col min="40" max="40" width="21.421875" style="0" customWidth="1"/>
    <col min="41" max="41" width="13.00390625" style="0" customWidth="1"/>
    <col min="44" max="44" width="33.140625" style="0" customWidth="1"/>
    <col min="45" max="45" width="19.00390625" style="0" customWidth="1"/>
    <col min="46" max="46" width="18.140625" style="0" customWidth="1"/>
    <col min="47" max="47" width="19.140625" style="0" customWidth="1"/>
    <col min="48" max="48" width="12.00390625" style="0" customWidth="1"/>
    <col min="49" max="49" width="13.140625" style="0" customWidth="1"/>
    <col min="51" max="51" width="40.421875" style="0" customWidth="1"/>
    <col min="52" max="52" width="21.28125" style="0" customWidth="1"/>
    <col min="53" max="53" width="20.421875" style="0" customWidth="1"/>
    <col min="54" max="54" width="23.57421875" style="0" customWidth="1"/>
    <col min="55" max="55" width="16.00390625" style="0" customWidth="1"/>
    <col min="57" max="57" width="27.28125" style="0" customWidth="1"/>
    <col min="58" max="58" width="16.28125" style="0" customWidth="1"/>
    <col min="59" max="59" width="16.00390625" style="0" customWidth="1"/>
    <col min="60" max="60" width="16.57421875" style="0" customWidth="1"/>
    <col min="64" max="64" width="28.421875" style="0" customWidth="1"/>
    <col min="65" max="65" width="13.8515625" style="0" customWidth="1"/>
    <col min="66" max="66" width="16.28125" style="0" customWidth="1"/>
    <col min="67" max="67" width="14.140625" style="0" customWidth="1"/>
    <col min="69" max="69" width="11.00390625" style="0" customWidth="1"/>
    <col min="71" max="71" width="34.57421875" style="0" customWidth="1"/>
    <col min="72" max="72" width="15.57421875" style="0" customWidth="1"/>
    <col min="73" max="73" width="19.8515625" style="0" customWidth="1"/>
    <col min="74" max="74" width="15.57421875" style="0" customWidth="1"/>
    <col min="78" max="78" width="29.140625" style="0" customWidth="1"/>
    <col min="79" max="79" width="21.28125" style="0" customWidth="1"/>
    <col min="80" max="80" width="20.140625" style="0" customWidth="1"/>
    <col min="81" max="81" width="19.421875" style="0" customWidth="1"/>
    <col min="85" max="85" width="26.7109375" style="0" customWidth="1"/>
    <col min="86" max="86" width="17.28125" style="0" customWidth="1"/>
    <col min="87" max="87" width="15.57421875" style="0" customWidth="1"/>
    <col min="88" max="88" width="17.00390625" style="0" customWidth="1"/>
    <col min="89" max="89" width="14.57421875" style="0" customWidth="1"/>
    <col min="92" max="92" width="24.421875" style="0" customWidth="1"/>
    <col min="93" max="93" width="19.421875" style="0" customWidth="1"/>
    <col min="94" max="94" width="16.7109375" style="0" customWidth="1"/>
    <col min="95" max="95" width="15.140625" style="0" customWidth="1"/>
    <col min="99" max="99" width="29.8515625" style="0" customWidth="1"/>
    <col min="100" max="100" width="15.57421875" style="0" customWidth="1"/>
    <col min="101" max="101" width="17.421875" style="0" customWidth="1"/>
    <col min="102" max="102" width="19.421875" style="0" customWidth="1"/>
  </cols>
  <sheetData>
    <row r="1" spans="1:105" ht="33.75">
      <c r="A1" s="101" t="s">
        <v>123</v>
      </c>
      <c r="B1" s="101"/>
      <c r="C1" s="101"/>
      <c r="D1" s="101"/>
      <c r="E1" s="101"/>
      <c r="F1" s="101"/>
      <c r="G1" s="101"/>
      <c r="H1" s="7"/>
      <c r="I1" s="101" t="s">
        <v>123</v>
      </c>
      <c r="J1" s="101"/>
      <c r="K1" s="101"/>
      <c r="L1" s="101"/>
      <c r="M1" s="101"/>
      <c r="N1" s="101"/>
      <c r="O1" s="101"/>
      <c r="P1" s="101" t="s">
        <v>123</v>
      </c>
      <c r="Q1" s="101"/>
      <c r="R1" s="101"/>
      <c r="S1" s="101"/>
      <c r="T1" s="101"/>
      <c r="U1" s="101"/>
      <c r="V1" s="101"/>
      <c r="W1" s="101" t="s">
        <v>123</v>
      </c>
      <c r="X1" s="101"/>
      <c r="Y1" s="101"/>
      <c r="Z1" s="101"/>
      <c r="AA1" s="101"/>
      <c r="AB1" s="101"/>
      <c r="AC1" s="101"/>
      <c r="AD1" s="101" t="s">
        <v>123</v>
      </c>
      <c r="AE1" s="101"/>
      <c r="AF1" s="101"/>
      <c r="AG1" s="101"/>
      <c r="AH1" s="101"/>
      <c r="AI1" s="101"/>
      <c r="AJ1" s="101"/>
      <c r="AK1" s="101" t="s">
        <v>123</v>
      </c>
      <c r="AL1" s="101"/>
      <c r="AM1" s="101"/>
      <c r="AN1" s="101"/>
      <c r="AO1" s="101"/>
      <c r="AP1" s="101"/>
      <c r="AQ1" s="101"/>
      <c r="AR1" s="101" t="s">
        <v>123</v>
      </c>
      <c r="AS1" s="101"/>
      <c r="AT1" s="101"/>
      <c r="AU1" s="101"/>
      <c r="AV1" s="101"/>
      <c r="AW1" s="101"/>
      <c r="AX1" s="101"/>
      <c r="AY1" s="101" t="s">
        <v>123</v>
      </c>
      <c r="AZ1" s="101"/>
      <c r="BA1" s="101"/>
      <c r="BB1" s="101"/>
      <c r="BC1" s="101"/>
      <c r="BD1" s="101"/>
      <c r="BE1" s="101" t="s">
        <v>123</v>
      </c>
      <c r="BF1" s="101"/>
      <c r="BG1" s="101"/>
      <c r="BH1" s="101"/>
      <c r="BI1" s="101"/>
      <c r="BJ1" s="101"/>
      <c r="BK1" s="101"/>
      <c r="BL1" s="101" t="s">
        <v>123</v>
      </c>
      <c r="BM1" s="101"/>
      <c r="BN1" s="101"/>
      <c r="BO1" s="101"/>
      <c r="BP1" s="101"/>
      <c r="BQ1" s="101"/>
      <c r="BR1" s="101"/>
      <c r="BS1" s="101" t="s">
        <v>123</v>
      </c>
      <c r="BT1" s="101"/>
      <c r="BU1" s="101"/>
      <c r="BV1" s="101"/>
      <c r="BW1" s="101"/>
      <c r="BX1" s="101"/>
      <c r="BY1" s="101"/>
      <c r="BZ1" s="101" t="s">
        <v>123</v>
      </c>
      <c r="CA1" s="101"/>
      <c r="CB1" s="101"/>
      <c r="CC1" s="101"/>
      <c r="CD1" s="101"/>
      <c r="CE1" s="101"/>
      <c r="CF1" s="101"/>
      <c r="CG1" s="101" t="s">
        <v>123</v>
      </c>
      <c r="CH1" s="101"/>
      <c r="CI1" s="101"/>
      <c r="CJ1" s="101"/>
      <c r="CK1" s="101"/>
      <c r="CL1" s="101"/>
      <c r="CM1" s="101"/>
      <c r="CN1" s="101" t="s">
        <v>123</v>
      </c>
      <c r="CO1" s="101"/>
      <c r="CP1" s="101"/>
      <c r="CQ1" s="101"/>
      <c r="CR1" s="101"/>
      <c r="CS1" s="101"/>
      <c r="CT1" s="101"/>
      <c r="CU1" s="101" t="s">
        <v>123</v>
      </c>
      <c r="CV1" s="101"/>
      <c r="CW1" s="101"/>
      <c r="CX1" s="101"/>
      <c r="CY1" s="101"/>
      <c r="CZ1" s="101"/>
      <c r="DA1" s="101"/>
    </row>
    <row r="2" spans="1:105" ht="12.75">
      <c r="A2" s="8"/>
      <c r="B2" s="8"/>
      <c r="C2" s="8"/>
      <c r="D2" s="8"/>
      <c r="E2" s="8"/>
      <c r="F2" s="10"/>
      <c r="G2" s="8"/>
      <c r="H2" s="8"/>
      <c r="I2" s="8"/>
      <c r="J2" s="8"/>
      <c r="K2" s="8"/>
      <c r="L2" s="8"/>
      <c r="M2" s="8"/>
      <c r="N2" s="10"/>
      <c r="O2" s="8"/>
      <c r="P2" s="8"/>
      <c r="Q2" s="8"/>
      <c r="R2" s="8"/>
      <c r="S2" s="8"/>
      <c r="T2" s="8"/>
      <c r="U2" s="10"/>
      <c r="V2" s="8"/>
      <c r="W2" s="8"/>
      <c r="X2" s="8"/>
      <c r="Y2" s="8"/>
      <c r="Z2" s="8"/>
      <c r="AA2" s="8"/>
      <c r="AB2" s="10"/>
      <c r="AC2" s="8"/>
      <c r="AD2" s="8"/>
      <c r="AE2" s="8"/>
      <c r="AF2" s="8"/>
      <c r="AG2" s="8"/>
      <c r="AH2" s="8"/>
      <c r="AI2" s="10"/>
      <c r="AJ2" s="8"/>
      <c r="AK2" s="8"/>
      <c r="AL2" s="8"/>
      <c r="AM2" s="8"/>
      <c r="AN2" s="8"/>
      <c r="AO2" s="8"/>
      <c r="AP2" s="10"/>
      <c r="AQ2" s="8"/>
      <c r="AR2" s="8"/>
      <c r="AS2" s="8"/>
      <c r="AT2" s="8"/>
      <c r="AU2" s="8"/>
      <c r="AV2" s="8"/>
      <c r="AW2" s="10"/>
      <c r="AX2" s="8"/>
      <c r="AY2" s="8"/>
      <c r="AZ2" s="8"/>
      <c r="BA2" s="8"/>
      <c r="BB2" s="8"/>
      <c r="BC2" s="8"/>
      <c r="BD2" s="10"/>
      <c r="BE2" s="8"/>
      <c r="BF2" s="8"/>
      <c r="BG2" s="8"/>
      <c r="BH2" s="8"/>
      <c r="BI2" s="8"/>
      <c r="BJ2" s="10"/>
      <c r="BK2" s="8"/>
      <c r="BL2" s="8"/>
      <c r="BM2" s="8"/>
      <c r="BN2" s="8"/>
      <c r="BO2" s="8"/>
      <c r="BP2" s="8"/>
      <c r="BQ2" s="10"/>
      <c r="BR2" s="8"/>
      <c r="BS2" s="8"/>
      <c r="BT2" s="8"/>
      <c r="BU2" s="8"/>
      <c r="BV2" s="8"/>
      <c r="BW2" s="8"/>
      <c r="BX2" s="10"/>
      <c r="BY2" s="8"/>
      <c r="BZ2" s="8"/>
      <c r="CA2" s="8"/>
      <c r="CB2" s="8"/>
      <c r="CC2" s="8"/>
      <c r="CD2" s="8"/>
      <c r="CE2" s="10"/>
      <c r="CF2" s="8"/>
      <c r="CG2" s="8"/>
      <c r="CH2" s="8"/>
      <c r="CI2" s="8"/>
      <c r="CJ2" s="8"/>
      <c r="CK2" s="8"/>
      <c r="CL2" s="10"/>
      <c r="CM2" s="8"/>
      <c r="CN2" s="8"/>
      <c r="CO2" s="8"/>
      <c r="CP2" s="8"/>
      <c r="CQ2" s="8"/>
      <c r="CR2" s="8"/>
      <c r="CS2" s="10"/>
      <c r="CT2" s="8"/>
      <c r="CU2" s="8"/>
      <c r="CV2" s="8"/>
      <c r="CW2" s="8"/>
      <c r="CX2" s="8"/>
      <c r="CY2" s="8"/>
      <c r="CZ2" s="10"/>
      <c r="DA2" s="8"/>
    </row>
    <row r="3" spans="1:105" ht="12.75">
      <c r="A3" s="8"/>
      <c r="B3" s="8"/>
      <c r="C3" s="8"/>
      <c r="D3" s="8"/>
      <c r="E3" s="8"/>
      <c r="F3" s="10"/>
      <c r="G3" s="8"/>
      <c r="H3" s="8"/>
      <c r="I3" s="8"/>
      <c r="J3" s="8"/>
      <c r="K3" s="8"/>
      <c r="L3" s="8"/>
      <c r="M3" s="8"/>
      <c r="N3" s="10"/>
      <c r="O3" s="8"/>
      <c r="P3" s="8"/>
      <c r="Q3" s="8"/>
      <c r="R3" s="8"/>
      <c r="S3" s="8"/>
      <c r="T3" s="8"/>
      <c r="U3" s="10"/>
      <c r="V3" s="8"/>
      <c r="W3" s="8"/>
      <c r="X3" s="8"/>
      <c r="Y3" s="8"/>
      <c r="Z3" s="8"/>
      <c r="AA3" s="8"/>
      <c r="AB3" s="10"/>
      <c r="AC3" s="8"/>
      <c r="AD3" s="8"/>
      <c r="AE3" s="8"/>
      <c r="AF3" s="8"/>
      <c r="AG3" s="8"/>
      <c r="AH3" s="8"/>
      <c r="AI3" s="10"/>
      <c r="AJ3" s="8"/>
      <c r="AK3" s="8"/>
      <c r="AL3" s="8"/>
      <c r="AM3" s="8"/>
      <c r="AN3" s="8"/>
      <c r="AO3" s="8"/>
      <c r="AP3" s="10"/>
      <c r="AQ3" s="8"/>
      <c r="AR3" s="8"/>
      <c r="AS3" s="8"/>
      <c r="AT3" s="8"/>
      <c r="AU3" s="8"/>
      <c r="AV3" s="8"/>
      <c r="AW3" s="10"/>
      <c r="AX3" s="8"/>
      <c r="AY3" s="8"/>
      <c r="AZ3" s="8"/>
      <c r="BA3" s="8"/>
      <c r="BB3" s="8"/>
      <c r="BC3" s="8"/>
      <c r="BD3" s="10"/>
      <c r="BE3" s="8"/>
      <c r="BF3" s="8"/>
      <c r="BG3" s="8"/>
      <c r="BH3" s="8"/>
      <c r="BI3" s="8"/>
      <c r="BJ3" s="10"/>
      <c r="BK3" s="8"/>
      <c r="BL3" s="8"/>
      <c r="BM3" s="8"/>
      <c r="BN3" s="8"/>
      <c r="BO3" s="8"/>
      <c r="BP3" s="8"/>
      <c r="BQ3" s="10"/>
      <c r="BR3" s="8"/>
      <c r="BS3" s="8"/>
      <c r="BT3" s="8"/>
      <c r="BU3" s="8"/>
      <c r="BV3" s="8"/>
      <c r="BW3" s="8"/>
      <c r="BX3" s="10"/>
      <c r="BY3" s="8"/>
      <c r="BZ3" s="8"/>
      <c r="CA3" s="8"/>
      <c r="CB3" s="8"/>
      <c r="CC3" s="8"/>
      <c r="CD3" s="8"/>
      <c r="CE3" s="10"/>
      <c r="CF3" s="8"/>
      <c r="CG3" s="8"/>
      <c r="CH3" s="8"/>
      <c r="CI3" s="8"/>
      <c r="CJ3" s="8"/>
      <c r="CK3" s="8"/>
      <c r="CL3" s="10"/>
      <c r="CM3" s="8"/>
      <c r="CN3" s="8"/>
      <c r="CO3" s="8"/>
      <c r="CP3" s="8"/>
      <c r="CQ3" s="8"/>
      <c r="CR3" s="8"/>
      <c r="CS3" s="10"/>
      <c r="CT3" s="8"/>
      <c r="CU3" s="8"/>
      <c r="CV3" s="8"/>
      <c r="CW3" s="8"/>
      <c r="CX3" s="8"/>
      <c r="CY3" s="8"/>
      <c r="CZ3" s="10"/>
      <c r="DA3" s="8"/>
    </row>
    <row r="4" spans="1:105" ht="18">
      <c r="A4" s="102" t="s">
        <v>98</v>
      </c>
      <c r="B4" s="102"/>
      <c r="C4" s="102"/>
      <c r="D4" s="102"/>
      <c r="E4" s="102"/>
      <c r="F4" s="102"/>
      <c r="G4" s="102"/>
      <c r="H4" s="11"/>
      <c r="I4" s="102" t="s">
        <v>142</v>
      </c>
      <c r="J4" s="102"/>
      <c r="K4" s="102"/>
      <c r="L4" s="102"/>
      <c r="M4" s="102"/>
      <c r="N4" s="102"/>
      <c r="O4" s="102"/>
      <c r="P4" s="102" t="s">
        <v>145</v>
      </c>
      <c r="Q4" s="102"/>
      <c r="R4" s="102"/>
      <c r="S4" s="102"/>
      <c r="T4" s="102"/>
      <c r="U4" s="102"/>
      <c r="V4" s="102"/>
      <c r="W4" s="102" t="s">
        <v>146</v>
      </c>
      <c r="X4" s="102"/>
      <c r="Y4" s="102"/>
      <c r="Z4" s="102"/>
      <c r="AA4" s="102"/>
      <c r="AB4" s="102"/>
      <c r="AC4" s="102"/>
      <c r="AD4" s="102" t="s">
        <v>148</v>
      </c>
      <c r="AE4" s="102"/>
      <c r="AF4" s="102"/>
      <c r="AG4" s="102"/>
      <c r="AH4" s="102"/>
      <c r="AI4" s="102"/>
      <c r="AJ4" s="102"/>
      <c r="AK4" s="102" t="s">
        <v>150</v>
      </c>
      <c r="AL4" s="102"/>
      <c r="AM4" s="102"/>
      <c r="AN4" s="102"/>
      <c r="AO4" s="102"/>
      <c r="AP4" s="102"/>
      <c r="AQ4" s="102"/>
      <c r="AR4" s="102" t="s">
        <v>153</v>
      </c>
      <c r="AS4" s="102"/>
      <c r="AT4" s="102"/>
      <c r="AU4" s="102"/>
      <c r="AV4" s="102"/>
      <c r="AW4" s="102"/>
      <c r="AX4" s="102"/>
      <c r="AY4" s="102" t="s">
        <v>156</v>
      </c>
      <c r="AZ4" s="102"/>
      <c r="BA4" s="102"/>
      <c r="BB4" s="102"/>
      <c r="BC4" s="102"/>
      <c r="BD4" s="102"/>
      <c r="BE4" s="102" t="s">
        <v>159</v>
      </c>
      <c r="BF4" s="102"/>
      <c r="BG4" s="102"/>
      <c r="BH4" s="102"/>
      <c r="BI4" s="102"/>
      <c r="BJ4" s="102"/>
      <c r="BK4" s="102"/>
      <c r="BL4" s="102" t="s">
        <v>164</v>
      </c>
      <c r="BM4" s="102"/>
      <c r="BN4" s="102"/>
      <c r="BO4" s="102"/>
      <c r="BP4" s="102"/>
      <c r="BQ4" s="102"/>
      <c r="BR4" s="102"/>
      <c r="BS4" s="102" t="s">
        <v>168</v>
      </c>
      <c r="BT4" s="102"/>
      <c r="BU4" s="102"/>
      <c r="BV4" s="102"/>
      <c r="BW4" s="102"/>
      <c r="BX4" s="102"/>
      <c r="BY4" s="102"/>
      <c r="BZ4" s="102" t="s">
        <v>169</v>
      </c>
      <c r="CA4" s="102"/>
      <c r="CB4" s="102"/>
      <c r="CC4" s="102"/>
      <c r="CD4" s="102"/>
      <c r="CE4" s="102"/>
      <c r="CF4" s="102"/>
      <c r="CG4" s="102" t="s">
        <v>172</v>
      </c>
      <c r="CH4" s="102"/>
      <c r="CI4" s="102"/>
      <c r="CJ4" s="102"/>
      <c r="CK4" s="102"/>
      <c r="CL4" s="102"/>
      <c r="CM4" s="102"/>
      <c r="CN4" s="102" t="s">
        <v>175</v>
      </c>
      <c r="CO4" s="102"/>
      <c r="CP4" s="102"/>
      <c r="CQ4" s="102"/>
      <c r="CR4" s="102"/>
      <c r="CS4" s="102"/>
      <c r="CT4" s="102"/>
      <c r="CU4" s="102" t="s">
        <v>182</v>
      </c>
      <c r="CV4" s="102"/>
      <c r="CW4" s="102"/>
      <c r="CX4" s="102"/>
      <c r="CY4" s="102"/>
      <c r="CZ4" s="102"/>
      <c r="DA4" s="102"/>
    </row>
    <row r="5" spans="1:105" ht="18">
      <c r="A5" s="8"/>
      <c r="B5" s="8"/>
      <c r="C5" s="8"/>
      <c r="D5" s="10"/>
      <c r="E5" s="8"/>
      <c r="F5" s="10"/>
      <c r="G5" s="8"/>
      <c r="H5" s="8"/>
      <c r="I5" s="8"/>
      <c r="J5" s="58" t="s">
        <v>143</v>
      </c>
      <c r="K5" s="8"/>
      <c r="L5" s="9"/>
      <c r="M5" s="8"/>
      <c r="N5" s="10"/>
      <c r="O5" s="8"/>
      <c r="P5" s="8"/>
      <c r="Q5" s="58" t="s">
        <v>144</v>
      </c>
      <c r="R5" s="8"/>
      <c r="S5" s="9"/>
      <c r="T5" s="8"/>
      <c r="U5" s="10"/>
      <c r="V5" s="8"/>
      <c r="W5" s="8"/>
      <c r="X5" s="58" t="s">
        <v>147</v>
      </c>
      <c r="Y5" s="8"/>
      <c r="Z5" s="9"/>
      <c r="AA5" s="8"/>
      <c r="AB5" s="10"/>
      <c r="AC5" s="8"/>
      <c r="AD5" s="8"/>
      <c r="AE5" s="58" t="s">
        <v>149</v>
      </c>
      <c r="AF5" s="8"/>
      <c r="AG5" s="9"/>
      <c r="AH5" s="8"/>
      <c r="AI5" s="10"/>
      <c r="AJ5" s="8"/>
      <c r="AK5" s="8"/>
      <c r="AL5" s="58" t="s">
        <v>151</v>
      </c>
      <c r="AM5" s="8"/>
      <c r="AN5" s="9"/>
      <c r="AO5" s="8"/>
      <c r="AP5" s="10"/>
      <c r="AQ5" s="8"/>
      <c r="AR5" s="8"/>
      <c r="AS5" s="58" t="s">
        <v>154</v>
      </c>
      <c r="AT5" s="8"/>
      <c r="AU5" s="9"/>
      <c r="AV5" s="8"/>
      <c r="AW5" s="10"/>
      <c r="AX5" s="8"/>
      <c r="AY5" s="8"/>
      <c r="AZ5" s="58" t="s">
        <v>157</v>
      </c>
      <c r="BA5" s="8"/>
      <c r="BB5" s="9"/>
      <c r="BC5" s="8"/>
      <c r="BD5" s="10"/>
      <c r="BE5" s="8"/>
      <c r="BF5" s="58" t="s">
        <v>160</v>
      </c>
      <c r="BG5" s="8"/>
      <c r="BH5" s="9"/>
      <c r="BI5" s="8"/>
      <c r="BJ5" s="10"/>
      <c r="BK5" s="8"/>
      <c r="BL5" s="8"/>
      <c r="BM5" s="58" t="s">
        <v>163</v>
      </c>
      <c r="BN5" s="8"/>
      <c r="BO5" s="9"/>
      <c r="BP5" s="8"/>
      <c r="BQ5" s="10"/>
      <c r="BR5" s="8"/>
      <c r="BS5" s="8"/>
      <c r="BT5" s="58" t="s">
        <v>167</v>
      </c>
      <c r="BU5" s="8"/>
      <c r="BV5" s="9"/>
      <c r="BW5" s="8"/>
      <c r="BX5" s="10"/>
      <c r="BY5" s="8"/>
      <c r="BZ5" s="8"/>
      <c r="CA5" s="58" t="s">
        <v>170</v>
      </c>
      <c r="CB5" s="8"/>
      <c r="CC5" s="9"/>
      <c r="CD5" s="8"/>
      <c r="CE5" s="10"/>
      <c r="CF5" s="8"/>
      <c r="CG5" s="8"/>
      <c r="CH5" s="58" t="s">
        <v>173</v>
      </c>
      <c r="CI5" s="8"/>
      <c r="CJ5" s="9"/>
      <c r="CK5" s="8"/>
      <c r="CL5" s="10"/>
      <c r="CM5" s="8"/>
      <c r="CN5" s="8"/>
      <c r="CO5" s="58" t="s">
        <v>176</v>
      </c>
      <c r="CP5" s="8"/>
      <c r="CQ5" s="9"/>
      <c r="CR5" s="8"/>
      <c r="CS5" s="10"/>
      <c r="CT5" s="8"/>
      <c r="CU5" s="8"/>
      <c r="CV5" s="58" t="s">
        <v>183</v>
      </c>
      <c r="CW5" s="8"/>
      <c r="CX5" s="9"/>
      <c r="CY5" s="8"/>
      <c r="CZ5" s="10"/>
      <c r="DA5" s="8"/>
    </row>
    <row r="6" spans="1:105" ht="12.75">
      <c r="A6" s="8"/>
      <c r="B6" s="8"/>
      <c r="C6" s="8"/>
      <c r="D6" s="10"/>
      <c r="E6" s="8"/>
      <c r="F6" s="10"/>
      <c r="G6" s="8"/>
      <c r="H6" s="8"/>
      <c r="I6" s="8"/>
      <c r="J6" s="8"/>
      <c r="K6" s="8"/>
      <c r="L6" s="10"/>
      <c r="M6" s="8"/>
      <c r="N6" s="10"/>
      <c r="O6" s="8"/>
      <c r="P6" s="8"/>
      <c r="Q6" s="8"/>
      <c r="R6" s="8"/>
      <c r="S6" s="10"/>
      <c r="T6" s="8"/>
      <c r="U6" s="10"/>
      <c r="V6" s="8"/>
      <c r="W6" s="8"/>
      <c r="X6" s="8"/>
      <c r="Y6" s="8"/>
      <c r="Z6" s="10"/>
      <c r="AA6" s="8"/>
      <c r="AB6" s="10"/>
      <c r="AC6" s="8"/>
      <c r="AD6" s="8"/>
      <c r="AE6" s="8"/>
      <c r="AF6" s="8"/>
      <c r="AG6" s="10"/>
      <c r="AH6" s="8"/>
      <c r="AI6" s="10"/>
      <c r="AJ6" s="8"/>
      <c r="AK6" s="8"/>
      <c r="AL6" s="8"/>
      <c r="AM6" s="8"/>
      <c r="AN6" s="10"/>
      <c r="AO6" s="8"/>
      <c r="AP6" s="10"/>
      <c r="AQ6" s="8"/>
      <c r="AR6" s="8"/>
      <c r="AS6" s="8"/>
      <c r="AT6" s="8"/>
      <c r="AU6" s="10"/>
      <c r="AV6" s="8"/>
      <c r="AW6" s="10"/>
      <c r="AX6" s="8"/>
      <c r="AY6" s="8"/>
      <c r="AZ6" s="8"/>
      <c r="BA6" s="8"/>
      <c r="BB6" s="10"/>
      <c r="BC6" s="8"/>
      <c r="BD6" s="10"/>
      <c r="BE6" s="8"/>
      <c r="BF6" s="8"/>
      <c r="BG6" s="8"/>
      <c r="BH6" s="10"/>
      <c r="BI6" s="8"/>
      <c r="BJ6" s="10"/>
      <c r="BK6" s="8"/>
      <c r="BL6" s="8"/>
      <c r="BM6" s="8"/>
      <c r="BN6" s="8"/>
      <c r="BO6" s="10"/>
      <c r="BP6" s="8"/>
      <c r="BQ6" s="10"/>
      <c r="BR6" s="8"/>
      <c r="BS6" s="8"/>
      <c r="BT6" s="8"/>
      <c r="BU6" s="8"/>
      <c r="BV6" s="10"/>
      <c r="BW6" s="8"/>
      <c r="BX6" s="10"/>
      <c r="BY6" s="8"/>
      <c r="BZ6" s="8"/>
      <c r="CA6" s="8"/>
      <c r="CB6" s="8"/>
      <c r="CC6" s="10"/>
      <c r="CD6" s="8"/>
      <c r="CE6" s="10"/>
      <c r="CF6" s="8"/>
      <c r="CG6" s="8"/>
      <c r="CH6" s="8"/>
      <c r="CI6" s="8"/>
      <c r="CJ6" s="10"/>
      <c r="CK6" s="8"/>
      <c r="CL6" s="10"/>
      <c r="CM6" s="8"/>
      <c r="CN6" s="8"/>
      <c r="CO6" s="8"/>
      <c r="CP6" s="8"/>
      <c r="CQ6" s="10"/>
      <c r="CR6" s="8"/>
      <c r="CS6" s="10"/>
      <c r="CT6" s="8"/>
      <c r="CU6" s="8"/>
      <c r="CV6" s="8"/>
      <c r="CW6" s="8"/>
      <c r="CX6" s="10"/>
      <c r="CY6" s="8"/>
      <c r="CZ6" s="10"/>
      <c r="DA6" s="8"/>
    </row>
    <row r="7" spans="1:105" ht="12.75">
      <c r="A7" s="12" t="s">
        <v>124</v>
      </c>
      <c r="B7" s="8"/>
      <c r="C7" s="8"/>
      <c r="D7" s="10"/>
      <c r="E7" s="8"/>
      <c r="F7" s="10"/>
      <c r="G7" s="8"/>
      <c r="H7" s="8"/>
      <c r="I7" s="12" t="s">
        <v>124</v>
      </c>
      <c r="J7" s="8"/>
      <c r="K7" s="8"/>
      <c r="L7" s="10"/>
      <c r="M7" s="8"/>
      <c r="N7" s="10"/>
      <c r="O7" s="8"/>
      <c r="P7" s="12" t="s">
        <v>124</v>
      </c>
      <c r="Q7" s="8"/>
      <c r="R7" s="8"/>
      <c r="S7" s="10"/>
      <c r="T7" s="8"/>
      <c r="U7" s="10"/>
      <c r="V7" s="8"/>
      <c r="W7" s="12" t="s">
        <v>124</v>
      </c>
      <c r="X7" s="8"/>
      <c r="Y7" s="8"/>
      <c r="Z7" s="10"/>
      <c r="AA7" s="8"/>
      <c r="AB7" s="10"/>
      <c r="AC7" s="8"/>
      <c r="AD7" s="12" t="s">
        <v>124</v>
      </c>
      <c r="AE7" s="8"/>
      <c r="AF7" s="8"/>
      <c r="AG7" s="10"/>
      <c r="AH7" s="8"/>
      <c r="AI7" s="10"/>
      <c r="AJ7" s="8"/>
      <c r="AK7" s="12" t="s">
        <v>124</v>
      </c>
      <c r="AL7" s="8"/>
      <c r="AM7" s="8"/>
      <c r="AN7" s="10"/>
      <c r="AO7" s="8"/>
      <c r="AP7" s="10"/>
      <c r="AQ7" s="8"/>
      <c r="AR7" s="12" t="s">
        <v>124</v>
      </c>
      <c r="AS7" s="8"/>
      <c r="AT7" s="8"/>
      <c r="AU7" s="10"/>
      <c r="AV7" s="8"/>
      <c r="AW7" s="10"/>
      <c r="AX7" s="8"/>
      <c r="AY7" s="12" t="s">
        <v>124</v>
      </c>
      <c r="AZ7" s="8"/>
      <c r="BA7" s="8"/>
      <c r="BB7" s="10"/>
      <c r="BC7" s="8"/>
      <c r="BD7" s="10"/>
      <c r="BE7" s="12" t="s">
        <v>124</v>
      </c>
      <c r="BF7" s="8"/>
      <c r="BG7" s="8"/>
      <c r="BH7" s="10"/>
      <c r="BI7" s="8"/>
      <c r="BJ7" s="10"/>
      <c r="BK7" s="8"/>
      <c r="BL7" s="12" t="s">
        <v>124</v>
      </c>
      <c r="BM7" s="8"/>
      <c r="BN7" s="8"/>
      <c r="BO7" s="10"/>
      <c r="BP7" s="8"/>
      <c r="BQ7" s="10"/>
      <c r="BR7" s="8"/>
      <c r="BS7" s="12" t="s">
        <v>124</v>
      </c>
      <c r="BT7" s="8"/>
      <c r="BU7" s="8"/>
      <c r="BV7" s="10"/>
      <c r="BW7" s="8"/>
      <c r="BX7" s="10"/>
      <c r="BY7" s="8"/>
      <c r="BZ7" s="12" t="s">
        <v>124</v>
      </c>
      <c r="CA7" s="8"/>
      <c r="CB7" s="8"/>
      <c r="CC7" s="10"/>
      <c r="CD7" s="8"/>
      <c r="CE7" s="10"/>
      <c r="CF7" s="8"/>
      <c r="CG7" s="12" t="s">
        <v>124</v>
      </c>
      <c r="CH7" s="8"/>
      <c r="CI7" s="8"/>
      <c r="CJ7" s="10"/>
      <c r="CK7" s="8"/>
      <c r="CL7" s="10"/>
      <c r="CM7" s="8"/>
      <c r="CN7" s="12" t="s">
        <v>124</v>
      </c>
      <c r="CO7" s="8"/>
      <c r="CP7" s="8"/>
      <c r="CQ7" s="10"/>
      <c r="CR7" s="8"/>
      <c r="CS7" s="10"/>
      <c r="CT7" s="8"/>
      <c r="CU7" s="12" t="s">
        <v>124</v>
      </c>
      <c r="CV7" s="8"/>
      <c r="CW7" s="8"/>
      <c r="CX7" s="10"/>
      <c r="CY7" s="8"/>
      <c r="CZ7" s="10"/>
      <c r="DA7" s="8"/>
    </row>
    <row r="8" spans="1:105" ht="12.75">
      <c r="A8" s="13" t="s">
        <v>12</v>
      </c>
      <c r="B8" s="8"/>
      <c r="C8" s="8"/>
      <c r="D8" s="10"/>
      <c r="E8" s="8"/>
      <c r="F8" s="10"/>
      <c r="G8" s="8"/>
      <c r="H8" s="8"/>
      <c r="I8" s="13" t="s">
        <v>12</v>
      </c>
      <c r="J8" s="8"/>
      <c r="K8" s="8"/>
      <c r="L8" s="10"/>
      <c r="M8" s="8"/>
      <c r="N8" s="10"/>
      <c r="O8" s="8"/>
      <c r="P8" s="13" t="s">
        <v>12</v>
      </c>
      <c r="Q8" s="8"/>
      <c r="R8" s="8"/>
      <c r="S8" s="10"/>
      <c r="T8" s="8"/>
      <c r="U8" s="10"/>
      <c r="V8" s="8"/>
      <c r="W8" s="13" t="s">
        <v>12</v>
      </c>
      <c r="X8" s="8"/>
      <c r="Y8" s="8"/>
      <c r="Z8" s="10"/>
      <c r="AA8" s="8"/>
      <c r="AB8" s="10"/>
      <c r="AC8" s="8"/>
      <c r="AD8" s="13" t="s">
        <v>12</v>
      </c>
      <c r="AE8" s="8"/>
      <c r="AF8" s="8"/>
      <c r="AG8" s="10"/>
      <c r="AH8" s="8"/>
      <c r="AI8" s="10"/>
      <c r="AJ8" s="8"/>
      <c r="AK8" s="13" t="s">
        <v>12</v>
      </c>
      <c r="AL8" s="8"/>
      <c r="AM8" s="8"/>
      <c r="AN8" s="10"/>
      <c r="AO8" s="8"/>
      <c r="AP8" s="10"/>
      <c r="AQ8" s="8"/>
      <c r="AR8" s="13" t="s">
        <v>12</v>
      </c>
      <c r="AS8" s="8"/>
      <c r="AT8" s="8"/>
      <c r="AU8" s="10"/>
      <c r="AV8" s="8"/>
      <c r="AW8" s="10"/>
      <c r="AX8" s="8"/>
      <c r="AY8" s="13" t="s">
        <v>12</v>
      </c>
      <c r="AZ8" s="8"/>
      <c r="BA8" s="8"/>
      <c r="BB8" s="10"/>
      <c r="BC8" s="8"/>
      <c r="BD8" s="10"/>
      <c r="BE8" s="13" t="s">
        <v>12</v>
      </c>
      <c r="BF8" s="8"/>
      <c r="BG8" s="8"/>
      <c r="BH8" s="10"/>
      <c r="BI8" s="8"/>
      <c r="BJ8" s="10"/>
      <c r="BK8" s="8"/>
      <c r="BL8" s="13" t="s">
        <v>12</v>
      </c>
      <c r="BM8" s="8"/>
      <c r="BN8" s="8"/>
      <c r="BO8" s="10"/>
      <c r="BP8" s="8"/>
      <c r="BQ8" s="10"/>
      <c r="BR8" s="8"/>
      <c r="BS8" s="13" t="s">
        <v>12</v>
      </c>
      <c r="BT8" s="8"/>
      <c r="BU8" s="8"/>
      <c r="BV8" s="10"/>
      <c r="BW8" s="8"/>
      <c r="BX8" s="10"/>
      <c r="BY8" s="8"/>
      <c r="BZ8" s="13" t="s">
        <v>12</v>
      </c>
      <c r="CA8" s="8"/>
      <c r="CB8" s="8"/>
      <c r="CC8" s="10"/>
      <c r="CD8" s="8"/>
      <c r="CE8" s="10"/>
      <c r="CF8" s="8"/>
      <c r="CG8" s="13" t="s">
        <v>12</v>
      </c>
      <c r="CH8" s="8"/>
      <c r="CI8" s="8"/>
      <c r="CJ8" s="10"/>
      <c r="CK8" s="8"/>
      <c r="CL8" s="10"/>
      <c r="CM8" s="8"/>
      <c r="CN8" s="13" t="s">
        <v>12</v>
      </c>
      <c r="CO8" s="8"/>
      <c r="CP8" s="8"/>
      <c r="CQ8" s="10"/>
      <c r="CR8" s="8"/>
      <c r="CS8" s="10"/>
      <c r="CT8" s="8"/>
      <c r="CU8" s="13" t="s">
        <v>12</v>
      </c>
      <c r="CV8" s="8"/>
      <c r="CW8" s="8"/>
      <c r="CX8" s="10"/>
      <c r="CY8" s="8"/>
      <c r="CZ8" s="10"/>
      <c r="DA8" s="8"/>
    </row>
    <row r="9" spans="1:105" ht="12.75">
      <c r="A9" s="8"/>
      <c r="B9" s="8"/>
      <c r="C9" s="8"/>
      <c r="D9" s="10"/>
      <c r="E9" s="8"/>
      <c r="F9" s="10"/>
      <c r="G9" s="8"/>
      <c r="H9" s="8"/>
      <c r="I9" s="8"/>
      <c r="J9" s="8"/>
      <c r="K9" s="8"/>
      <c r="L9" s="10"/>
      <c r="M9" s="8"/>
      <c r="N9" s="10"/>
      <c r="O9" s="8"/>
      <c r="P9" s="8"/>
      <c r="Q9" s="8"/>
      <c r="R9" s="8"/>
      <c r="S9" s="10"/>
      <c r="T9" s="8"/>
      <c r="U9" s="10"/>
      <c r="V9" s="8"/>
      <c r="W9" s="8"/>
      <c r="X9" s="8"/>
      <c r="Y9" s="8"/>
      <c r="Z9" s="10"/>
      <c r="AA9" s="8"/>
      <c r="AB9" s="10"/>
      <c r="AC9" s="8"/>
      <c r="AD9" s="8"/>
      <c r="AE9" s="8"/>
      <c r="AF9" s="8"/>
      <c r="AG9" s="10"/>
      <c r="AH9" s="8"/>
      <c r="AI9" s="10"/>
      <c r="AJ9" s="8"/>
      <c r="AK9" s="8"/>
      <c r="AL9" s="8"/>
      <c r="AM9" s="8"/>
      <c r="AN9" s="10"/>
      <c r="AO9" s="8"/>
      <c r="AP9" s="10"/>
      <c r="AQ9" s="8"/>
      <c r="AR9" s="8"/>
      <c r="AS9" s="8"/>
      <c r="AT9" s="8"/>
      <c r="AU9" s="10"/>
      <c r="AV9" s="8"/>
      <c r="AW9" s="10"/>
      <c r="AX9" s="8"/>
      <c r="AY9" s="8"/>
      <c r="AZ9" s="8"/>
      <c r="BA9" s="8"/>
      <c r="BB9" s="10"/>
      <c r="BC9" s="8"/>
      <c r="BD9" s="10"/>
      <c r="BE9" s="8"/>
      <c r="BF9" s="8"/>
      <c r="BG9" s="8"/>
      <c r="BH9" s="10"/>
      <c r="BI9" s="8"/>
      <c r="BJ9" s="10"/>
      <c r="BK9" s="8"/>
      <c r="BL9" s="8"/>
      <c r="BM9" s="8"/>
      <c r="BN9" s="8"/>
      <c r="BO9" s="10"/>
      <c r="BP9" s="8"/>
      <c r="BQ9" s="10"/>
      <c r="BR9" s="8"/>
      <c r="BS9" s="8"/>
      <c r="BT9" s="8"/>
      <c r="BU9" s="8"/>
      <c r="BV9" s="10"/>
      <c r="BW9" s="8"/>
      <c r="BX9" s="10"/>
      <c r="BY9" s="8"/>
      <c r="BZ9" s="8"/>
      <c r="CA9" s="8"/>
      <c r="CB9" s="8"/>
      <c r="CC9" s="10"/>
      <c r="CD9" s="8"/>
      <c r="CE9" s="10"/>
      <c r="CF9" s="8"/>
      <c r="CG9" s="8"/>
      <c r="CH9" s="8"/>
      <c r="CI9" s="8"/>
      <c r="CJ9" s="10"/>
      <c r="CK9" s="8"/>
      <c r="CL9" s="10"/>
      <c r="CM9" s="8"/>
      <c r="CN9" s="8"/>
      <c r="CO9" s="8"/>
      <c r="CP9" s="8"/>
      <c r="CQ9" s="10"/>
      <c r="CR9" s="8"/>
      <c r="CS9" s="10"/>
      <c r="CT9" s="8"/>
      <c r="CU9" s="8"/>
      <c r="CV9" s="8"/>
      <c r="CW9" s="8"/>
      <c r="CX9" s="10"/>
      <c r="CY9" s="8"/>
      <c r="CZ9" s="10"/>
      <c r="DA9" s="8"/>
    </row>
    <row r="10" spans="1:105" ht="12.75">
      <c r="A10" s="8" t="s">
        <v>13</v>
      </c>
      <c r="B10" s="8"/>
      <c r="C10" s="8"/>
      <c r="D10" s="15">
        <f>+D27/F27</f>
        <v>7437.214669107296</v>
      </c>
      <c r="E10" s="8"/>
      <c r="F10" s="10"/>
      <c r="G10" s="8"/>
      <c r="H10" s="8"/>
      <c r="I10" s="8" t="s">
        <v>13</v>
      </c>
      <c r="J10" s="8"/>
      <c r="K10" s="8"/>
      <c r="L10" s="15">
        <v>7064.86574622532</v>
      </c>
      <c r="M10" s="8"/>
      <c r="N10" s="10"/>
      <c r="O10" s="8"/>
      <c r="P10" s="8" t="s">
        <v>13</v>
      </c>
      <c r="Q10" s="8"/>
      <c r="R10" s="8"/>
      <c r="S10" s="15">
        <v>6745.022454674712</v>
      </c>
      <c r="T10" s="8"/>
      <c r="U10" s="10"/>
      <c r="V10" s="8"/>
      <c r="W10" s="8" t="s">
        <v>13</v>
      </c>
      <c r="X10" s="8"/>
      <c r="Y10" s="8"/>
      <c r="Z10" s="15">
        <v>6601.0477908293315</v>
      </c>
      <c r="AA10" s="8"/>
      <c r="AB10" s="10"/>
      <c r="AC10" s="8"/>
      <c r="AD10" s="8" t="s">
        <v>13</v>
      </c>
      <c r="AE10" s="8"/>
      <c r="AF10" s="8"/>
      <c r="AG10" s="15">
        <v>6316.7274955863895</v>
      </c>
      <c r="AH10" s="8"/>
      <c r="AI10" s="10"/>
      <c r="AJ10" s="8"/>
      <c r="AK10" s="8" t="s">
        <v>13</v>
      </c>
      <c r="AL10" s="8"/>
      <c r="AM10" s="8"/>
      <c r="AN10" s="15">
        <v>6203.9504614873795</v>
      </c>
      <c r="AO10" s="8"/>
      <c r="AP10" s="10"/>
      <c r="AQ10" s="8"/>
      <c r="AR10" s="8" t="s">
        <v>13</v>
      </c>
      <c r="AS10" s="8"/>
      <c r="AT10" s="8"/>
      <c r="AU10" s="15">
        <v>6110.156434900536</v>
      </c>
      <c r="AV10" s="8"/>
      <c r="AW10" s="10"/>
      <c r="AX10" s="8"/>
      <c r="AY10" s="8" t="s">
        <v>13</v>
      </c>
      <c r="AZ10" s="8"/>
      <c r="BA10" s="8"/>
      <c r="BB10" s="15">
        <v>5987.480620167786</v>
      </c>
      <c r="BC10" s="8"/>
      <c r="BD10" s="10"/>
      <c r="BE10" s="8" t="s">
        <v>13</v>
      </c>
      <c r="BF10" s="8"/>
      <c r="BG10" s="8"/>
      <c r="BH10" s="15">
        <v>5824.417217108826</v>
      </c>
      <c r="BI10" s="8"/>
      <c r="BJ10" s="10"/>
      <c r="BK10" s="8"/>
      <c r="BL10" s="8" t="s">
        <v>13</v>
      </c>
      <c r="BM10" s="8"/>
      <c r="BN10" s="8"/>
      <c r="BO10" s="15">
        <v>5485.953876790269</v>
      </c>
      <c r="BP10" s="8"/>
      <c r="BQ10" s="10"/>
      <c r="BR10" s="8"/>
      <c r="BS10" s="8" t="s">
        <v>13</v>
      </c>
      <c r="BT10" s="8"/>
      <c r="BU10" s="8"/>
      <c r="BV10" s="15">
        <v>5326.054067645311</v>
      </c>
      <c r="BW10" s="8"/>
      <c r="BX10" s="10"/>
      <c r="BY10" s="8"/>
      <c r="BZ10" s="8" t="s">
        <v>13</v>
      </c>
      <c r="CA10" s="8"/>
      <c r="CB10" s="8"/>
      <c r="CC10" s="15">
        <v>5362.823656882585</v>
      </c>
      <c r="CD10" s="8"/>
      <c r="CE10" s="10"/>
      <c r="CF10" s="8"/>
      <c r="CG10" s="8" t="s">
        <v>13</v>
      </c>
      <c r="CH10" s="8"/>
      <c r="CI10" s="8"/>
      <c r="CJ10" s="15">
        <v>5471.273342896609</v>
      </c>
      <c r="CK10" s="8"/>
      <c r="CL10" s="10"/>
      <c r="CM10" s="8"/>
      <c r="CN10" s="8" t="s">
        <v>13</v>
      </c>
      <c r="CO10" s="8"/>
      <c r="CP10" s="8"/>
      <c r="CQ10" s="15">
        <v>5390.960809023267</v>
      </c>
      <c r="CR10" s="8"/>
      <c r="CS10" s="10"/>
      <c r="CT10" s="8"/>
      <c r="CU10" s="8" t="s">
        <v>13</v>
      </c>
      <c r="CV10" s="8"/>
      <c r="CW10" s="8"/>
      <c r="CX10" s="15">
        <v>5321.753194888187</v>
      </c>
      <c r="CY10" s="8"/>
      <c r="CZ10" s="10"/>
      <c r="DA10" s="8"/>
    </row>
    <row r="11" spans="1:105" ht="12.75">
      <c r="A11" s="8" t="s">
        <v>14</v>
      </c>
      <c r="B11" s="8"/>
      <c r="C11" s="8"/>
      <c r="D11" s="16">
        <v>2.1840030882405155</v>
      </c>
      <c r="E11" s="8" t="s">
        <v>11</v>
      </c>
      <c r="F11" s="10"/>
      <c r="G11" s="8"/>
      <c r="H11" s="8"/>
      <c r="I11" s="8" t="s">
        <v>14</v>
      </c>
      <c r="J11" s="8"/>
      <c r="K11" s="8"/>
      <c r="L11" s="16">
        <v>4.832812042388206</v>
      </c>
      <c r="M11" s="8" t="s">
        <v>11</v>
      </c>
      <c r="N11" s="10"/>
      <c r="O11" s="8"/>
      <c r="P11" s="8" t="s">
        <v>14</v>
      </c>
      <c r="Q11" s="8"/>
      <c r="R11" s="8"/>
      <c r="S11" s="16">
        <v>5.775203808899099</v>
      </c>
      <c r="T11" s="8" t="s">
        <v>11</v>
      </c>
      <c r="U11" s="10"/>
      <c r="V11" s="8"/>
      <c r="W11" s="8" t="s">
        <v>14</v>
      </c>
      <c r="X11" s="8"/>
      <c r="Y11" s="8"/>
      <c r="Z11" s="16">
        <v>6.9566665327937995</v>
      </c>
      <c r="AA11" s="8" t="s">
        <v>11</v>
      </c>
      <c r="AB11" s="10"/>
      <c r="AC11" s="8"/>
      <c r="AD11" s="8" t="s">
        <v>14</v>
      </c>
      <c r="AE11" s="8"/>
      <c r="AF11" s="8"/>
      <c r="AG11" s="16">
        <v>8.870594841363223</v>
      </c>
      <c r="AH11" s="8" t="s">
        <v>11</v>
      </c>
      <c r="AI11" s="10"/>
      <c r="AJ11" s="8"/>
      <c r="AK11" s="8" t="s">
        <v>14</v>
      </c>
      <c r="AL11" s="8"/>
      <c r="AM11" s="8"/>
      <c r="AN11" s="16">
        <v>9.833031962951582</v>
      </c>
      <c r="AO11" s="8" t="s">
        <v>11</v>
      </c>
      <c r="AP11" s="10"/>
      <c r="AQ11" s="8"/>
      <c r="AR11" s="8" t="s">
        <v>14</v>
      </c>
      <c r="AS11" s="8"/>
      <c r="AT11" s="8"/>
      <c r="AU11" s="16">
        <v>10.290113380935558</v>
      </c>
      <c r="AV11" s="8" t="s">
        <v>11</v>
      </c>
      <c r="AW11" s="10"/>
      <c r="AX11" s="8"/>
      <c r="AY11" s="8" t="s">
        <v>14</v>
      </c>
      <c r="AZ11" s="8"/>
      <c r="BA11" s="8"/>
      <c r="BB11" s="16">
        <v>11.306126020702553</v>
      </c>
      <c r="BC11" s="8" t="s">
        <v>11</v>
      </c>
      <c r="BD11" s="10"/>
      <c r="BE11" s="8" t="s">
        <v>14</v>
      </c>
      <c r="BF11" s="8"/>
      <c r="BG11" s="8"/>
      <c r="BH11" s="16">
        <v>13.789488560926953</v>
      </c>
      <c r="BI11" s="8" t="s">
        <v>11</v>
      </c>
      <c r="BJ11" s="10"/>
      <c r="BK11" s="8"/>
      <c r="BL11" s="8" t="s">
        <v>14</v>
      </c>
      <c r="BM11" s="8"/>
      <c r="BN11" s="8"/>
      <c r="BO11" s="16">
        <v>16.26662857544004</v>
      </c>
      <c r="BP11" s="8" t="s">
        <v>11</v>
      </c>
      <c r="BQ11" s="10"/>
      <c r="BR11" s="8"/>
      <c r="BS11" s="8" t="s">
        <v>14</v>
      </c>
      <c r="BT11" s="8"/>
      <c r="BU11" s="8"/>
      <c r="BV11" s="16">
        <v>16.978708739989617</v>
      </c>
      <c r="BW11" s="8" t="s">
        <v>11</v>
      </c>
      <c r="BX11" s="10"/>
      <c r="BY11" s="8"/>
      <c r="BZ11" s="8" t="s">
        <v>14</v>
      </c>
      <c r="CA11" s="8"/>
      <c r="CB11" s="8"/>
      <c r="CC11" s="16">
        <v>17.176578220437793</v>
      </c>
      <c r="CD11" s="8" t="s">
        <v>11</v>
      </c>
      <c r="CE11" s="10"/>
      <c r="CF11" s="8"/>
      <c r="CG11" s="8" t="s">
        <v>14</v>
      </c>
      <c r="CH11" s="8"/>
      <c r="CI11" s="8"/>
      <c r="CJ11" s="16">
        <v>17.015173159642313</v>
      </c>
      <c r="CK11" s="8" t="s">
        <v>11</v>
      </c>
      <c r="CL11" s="10"/>
      <c r="CM11" s="8"/>
      <c r="CN11" s="8" t="s">
        <v>14</v>
      </c>
      <c r="CO11" s="8"/>
      <c r="CP11" s="8"/>
      <c r="CQ11" s="16">
        <v>18.107272682293942</v>
      </c>
      <c r="CR11" s="8" t="s">
        <v>11</v>
      </c>
      <c r="CS11" s="10"/>
      <c r="CT11" s="8"/>
      <c r="CU11" s="8" t="s">
        <v>14</v>
      </c>
      <c r="CV11" s="8"/>
      <c r="CW11" s="8"/>
      <c r="CX11" s="16">
        <v>18.922131314716495</v>
      </c>
      <c r="CY11" s="8" t="s">
        <v>11</v>
      </c>
      <c r="CZ11" s="10"/>
      <c r="DA11" s="8"/>
    </row>
    <row r="12" spans="1:105" ht="12.75">
      <c r="A12" s="8" t="s">
        <v>15</v>
      </c>
      <c r="B12" s="8"/>
      <c r="C12" s="8"/>
      <c r="D12" s="17">
        <v>0.12516506464384997</v>
      </c>
      <c r="E12" s="8"/>
      <c r="F12" s="10"/>
      <c r="G12" s="8"/>
      <c r="H12" s="8"/>
      <c r="I12" s="8" t="s">
        <v>15</v>
      </c>
      <c r="J12" s="8"/>
      <c r="K12" s="8"/>
      <c r="L12" s="17">
        <v>0.12498416598738091</v>
      </c>
      <c r="M12" s="8"/>
      <c r="N12" s="10"/>
      <c r="O12" s="8"/>
      <c r="P12" s="8" t="s">
        <v>15</v>
      </c>
      <c r="Q12" s="8"/>
      <c r="R12" s="8"/>
      <c r="S12" s="17">
        <v>0.12518585185956696</v>
      </c>
      <c r="T12" s="8"/>
      <c r="U12" s="10"/>
      <c r="V12" s="8"/>
      <c r="W12" s="8" t="s">
        <v>15</v>
      </c>
      <c r="X12" s="8"/>
      <c r="Y12" s="8"/>
      <c r="Z12" s="17">
        <v>0.12304679457553108</v>
      </c>
      <c r="AA12" s="8"/>
      <c r="AB12" s="10"/>
      <c r="AC12" s="8"/>
      <c r="AD12" s="8" t="s">
        <v>15</v>
      </c>
      <c r="AE12" s="8"/>
      <c r="AF12" s="8"/>
      <c r="AG12" s="17">
        <v>0.12230061333809683</v>
      </c>
      <c r="AH12" s="8"/>
      <c r="AI12" s="10"/>
      <c r="AJ12" s="8"/>
      <c r="AK12" s="8" t="s">
        <v>15</v>
      </c>
      <c r="AL12" s="8"/>
      <c r="AM12" s="8"/>
      <c r="AN12" s="17">
        <v>0.11956146645447338</v>
      </c>
      <c r="AO12" s="8"/>
      <c r="AP12" s="10"/>
      <c r="AQ12" s="8"/>
      <c r="AR12" s="8" t="s">
        <v>15</v>
      </c>
      <c r="AS12" s="8"/>
      <c r="AT12" s="8"/>
      <c r="AU12" s="17">
        <v>0.11660527775535684</v>
      </c>
      <c r="AV12" s="8"/>
      <c r="AW12" s="10"/>
      <c r="AX12" s="8"/>
      <c r="AY12" s="8" t="s">
        <v>15</v>
      </c>
      <c r="AZ12" s="8"/>
      <c r="BA12" s="8"/>
      <c r="BB12" s="17">
        <v>0.11317948999406666</v>
      </c>
      <c r="BC12" s="8"/>
      <c r="BD12" s="10"/>
      <c r="BE12" s="8" t="s">
        <v>15</v>
      </c>
      <c r="BF12" s="8"/>
      <c r="BG12" s="8"/>
      <c r="BH12" s="17">
        <v>0.11221718461983088</v>
      </c>
      <c r="BI12" s="8"/>
      <c r="BJ12" s="10"/>
      <c r="BK12" s="8"/>
      <c r="BL12" s="8" t="s">
        <v>15</v>
      </c>
      <c r="BM12" s="8"/>
      <c r="BN12" s="8"/>
      <c r="BO12" s="17">
        <v>0.11149788442733705</v>
      </c>
      <c r="BP12" s="8"/>
      <c r="BQ12" s="10"/>
      <c r="BR12" s="8"/>
      <c r="BS12" s="8" t="s">
        <v>15</v>
      </c>
      <c r="BT12" s="8"/>
      <c r="BU12" s="8"/>
      <c r="BV12" s="17">
        <v>0.10933664340686895</v>
      </c>
      <c r="BW12" s="8"/>
      <c r="BX12" s="10"/>
      <c r="BY12" s="8"/>
      <c r="BZ12" s="8" t="s">
        <v>15</v>
      </c>
      <c r="CA12" s="8"/>
      <c r="CB12" s="8"/>
      <c r="CC12" s="17">
        <v>0.10719021463553245</v>
      </c>
      <c r="CD12" s="8"/>
      <c r="CE12" s="10"/>
      <c r="CF12" s="8"/>
      <c r="CG12" s="8" t="s">
        <v>15</v>
      </c>
      <c r="CH12" s="8"/>
      <c r="CI12" s="8"/>
      <c r="CJ12" s="17">
        <v>0.10566154427208739</v>
      </c>
      <c r="CK12" s="8"/>
      <c r="CL12" s="10"/>
      <c r="CM12" s="8"/>
      <c r="CN12" s="8" t="s">
        <v>15</v>
      </c>
      <c r="CO12" s="8"/>
      <c r="CP12" s="8"/>
      <c r="CQ12" s="17">
        <v>0.10522392857062249</v>
      </c>
      <c r="CR12" s="8"/>
      <c r="CS12" s="10"/>
      <c r="CT12" s="8"/>
      <c r="CU12" s="8" t="s">
        <v>15</v>
      </c>
      <c r="CV12" s="8"/>
      <c r="CW12" s="8"/>
      <c r="CX12" s="17">
        <v>0.10200830376349124</v>
      </c>
      <c r="CY12" s="8"/>
      <c r="CZ12" s="10"/>
      <c r="DA12" s="8"/>
    </row>
    <row r="13" spans="1:105" ht="12.75">
      <c r="A13" s="8" t="s">
        <v>16</v>
      </c>
      <c r="B13" s="8"/>
      <c r="C13" s="8"/>
      <c r="D13" s="16">
        <v>4.008693771173907</v>
      </c>
      <c r="E13" s="8" t="s">
        <v>79</v>
      </c>
      <c r="F13" s="10"/>
      <c r="G13" s="8"/>
      <c r="H13" s="8"/>
      <c r="I13" s="8" t="s">
        <v>16</v>
      </c>
      <c r="J13" s="8"/>
      <c r="K13" s="8"/>
      <c r="L13" s="16">
        <v>3.811403357582908</v>
      </c>
      <c r="M13" s="8" t="s">
        <v>79</v>
      </c>
      <c r="N13" s="10"/>
      <c r="O13" s="8"/>
      <c r="P13" s="8" t="s">
        <v>16</v>
      </c>
      <c r="Q13" s="8"/>
      <c r="R13" s="8"/>
      <c r="S13" s="16">
        <v>3.789314978152785</v>
      </c>
      <c r="T13" s="8" t="s">
        <v>79</v>
      </c>
      <c r="U13" s="10"/>
      <c r="V13" s="8"/>
      <c r="W13" s="8" t="s">
        <v>16</v>
      </c>
      <c r="X13" s="8"/>
      <c r="Y13" s="8"/>
      <c r="Z13" s="16">
        <v>3.31710922643772</v>
      </c>
      <c r="AA13" s="8" t="s">
        <v>79</v>
      </c>
      <c r="AB13" s="10"/>
      <c r="AC13" s="8"/>
      <c r="AD13" s="8" t="s">
        <v>16</v>
      </c>
      <c r="AE13" s="8"/>
      <c r="AF13" s="8"/>
      <c r="AG13" s="16">
        <v>3.579071183305825</v>
      </c>
      <c r="AH13" s="8" t="s">
        <v>79</v>
      </c>
      <c r="AI13" s="10"/>
      <c r="AJ13" s="8"/>
      <c r="AK13" s="8" t="s">
        <v>16</v>
      </c>
      <c r="AL13" s="8"/>
      <c r="AM13" s="8"/>
      <c r="AN13" s="16">
        <v>3.534863969159648</v>
      </c>
      <c r="AO13" s="8" t="s">
        <v>79</v>
      </c>
      <c r="AP13" s="10"/>
      <c r="AQ13" s="8"/>
      <c r="AR13" s="8" t="s">
        <v>16</v>
      </c>
      <c r="AS13" s="8"/>
      <c r="AT13" s="8"/>
      <c r="AU13" s="16">
        <v>3.490260126853144</v>
      </c>
      <c r="AV13" s="8" t="s">
        <v>79</v>
      </c>
      <c r="AW13" s="10"/>
      <c r="AX13" s="8"/>
      <c r="AY13" s="8" t="s">
        <v>16</v>
      </c>
      <c r="AZ13" s="8"/>
      <c r="BA13" s="8"/>
      <c r="BB13" s="16">
        <v>3.379961190929811</v>
      </c>
      <c r="BC13" s="8" t="s">
        <v>79</v>
      </c>
      <c r="BD13" s="10"/>
      <c r="BE13" s="8" t="s">
        <v>16</v>
      </c>
      <c r="BF13" s="8"/>
      <c r="BG13" s="8"/>
      <c r="BH13" s="16">
        <v>3.1822445049569557</v>
      </c>
      <c r="BI13" s="8" t="s">
        <v>79</v>
      </c>
      <c r="BJ13" s="10"/>
      <c r="BK13" s="8"/>
      <c r="BL13" s="8" t="s">
        <v>16</v>
      </c>
      <c r="BM13" s="8"/>
      <c r="BN13" s="8"/>
      <c r="BO13" s="16">
        <v>2.985640255269095</v>
      </c>
      <c r="BP13" s="8" t="s">
        <v>79</v>
      </c>
      <c r="BQ13" s="10"/>
      <c r="BR13" s="8"/>
      <c r="BS13" s="8" t="s">
        <v>16</v>
      </c>
      <c r="BT13" s="8"/>
      <c r="BU13" s="8"/>
      <c r="BV13" s="16">
        <v>2.8692143123362883</v>
      </c>
      <c r="BW13" s="8" t="s">
        <v>79</v>
      </c>
      <c r="BX13" s="10"/>
      <c r="BY13" s="8"/>
      <c r="BZ13" s="8" t="s">
        <v>16</v>
      </c>
      <c r="CA13" s="8"/>
      <c r="CB13" s="8"/>
      <c r="CC13" s="16">
        <v>2.7821056098656136</v>
      </c>
      <c r="CD13" s="8" t="s">
        <v>79</v>
      </c>
      <c r="CE13" s="10"/>
      <c r="CF13" s="8"/>
      <c r="CG13" s="8" t="s">
        <v>16</v>
      </c>
      <c r="CH13" s="8"/>
      <c r="CI13" s="8"/>
      <c r="CJ13" s="16">
        <v>2.750815552629053</v>
      </c>
      <c r="CK13" s="8" t="s">
        <v>79</v>
      </c>
      <c r="CL13" s="10"/>
      <c r="CM13" s="8"/>
      <c r="CN13" s="8" t="s">
        <v>16</v>
      </c>
      <c r="CO13" s="8"/>
      <c r="CP13" s="8"/>
      <c r="CQ13" s="16">
        <v>2.6464911349898563</v>
      </c>
      <c r="CR13" s="8" t="s">
        <v>79</v>
      </c>
      <c r="CS13" s="10"/>
      <c r="CT13" s="8"/>
      <c r="CU13" s="8" t="s">
        <v>16</v>
      </c>
      <c r="CV13" s="8"/>
      <c r="CW13" s="8"/>
      <c r="CX13" s="16">
        <v>2.5416205716328473</v>
      </c>
      <c r="CY13" s="8" t="s">
        <v>79</v>
      </c>
      <c r="CZ13" s="10"/>
      <c r="DA13" s="8"/>
    </row>
    <row r="14" spans="1:105" ht="12.75">
      <c r="A14" s="8"/>
      <c r="B14" s="8"/>
      <c r="C14" s="8"/>
      <c r="D14" s="10"/>
      <c r="E14" s="8"/>
      <c r="F14" s="10"/>
      <c r="G14" s="8"/>
      <c r="H14" s="8"/>
      <c r="I14" s="8"/>
      <c r="J14" s="8"/>
      <c r="K14" s="8"/>
      <c r="L14" s="10"/>
      <c r="M14" s="8"/>
      <c r="N14" s="10"/>
      <c r="O14" s="8"/>
      <c r="P14" s="8"/>
      <c r="Q14" s="8"/>
      <c r="R14" s="8"/>
      <c r="S14" s="10"/>
      <c r="T14" s="8"/>
      <c r="U14" s="10"/>
      <c r="V14" s="8"/>
      <c r="W14" s="8"/>
      <c r="X14" s="8"/>
      <c r="Y14" s="8"/>
      <c r="Z14" s="10"/>
      <c r="AA14" s="8"/>
      <c r="AB14" s="10"/>
      <c r="AC14" s="8"/>
      <c r="AD14" s="8"/>
      <c r="AE14" s="8"/>
      <c r="AF14" s="8"/>
      <c r="AG14" s="10"/>
      <c r="AH14" s="8"/>
      <c r="AI14" s="10"/>
      <c r="AJ14" s="8"/>
      <c r="AK14" s="8"/>
      <c r="AL14" s="8"/>
      <c r="AM14" s="8"/>
      <c r="AN14" s="10"/>
      <c r="AO14" s="8"/>
      <c r="AP14" s="10"/>
      <c r="AQ14" s="8"/>
      <c r="AR14" s="8"/>
      <c r="AS14" s="8"/>
      <c r="AT14" s="8"/>
      <c r="AU14" s="10"/>
      <c r="AV14" s="8"/>
      <c r="AW14" s="10"/>
      <c r="AX14" s="8"/>
      <c r="AY14" s="8"/>
      <c r="AZ14" s="8"/>
      <c r="BA14" s="8"/>
      <c r="BB14" s="10"/>
      <c r="BC14" s="8"/>
      <c r="BD14" s="10"/>
      <c r="BE14" s="8"/>
      <c r="BF14" s="8"/>
      <c r="BG14" s="8"/>
      <c r="BH14" s="10"/>
      <c r="BI14" s="8"/>
      <c r="BJ14" s="10"/>
      <c r="BK14" s="8"/>
      <c r="BL14" s="8"/>
      <c r="BM14" s="8"/>
      <c r="BN14" s="8"/>
      <c r="BO14" s="10"/>
      <c r="BP14" s="8"/>
      <c r="BQ14" s="10"/>
      <c r="BR14" s="8"/>
      <c r="BS14" s="8"/>
      <c r="BT14" s="8"/>
      <c r="BU14" s="8"/>
      <c r="BV14" s="10"/>
      <c r="BW14" s="8"/>
      <c r="BX14" s="10"/>
      <c r="BY14" s="8"/>
      <c r="BZ14" s="8"/>
      <c r="CA14" s="8"/>
      <c r="CB14" s="8"/>
      <c r="CC14" s="10"/>
      <c r="CD14" s="8"/>
      <c r="CE14" s="10"/>
      <c r="CF14" s="8"/>
      <c r="CG14" s="8"/>
      <c r="CH14" s="8"/>
      <c r="CI14" s="8"/>
      <c r="CJ14" s="10"/>
      <c r="CK14" s="8"/>
      <c r="CL14" s="10"/>
      <c r="CM14" s="8"/>
      <c r="CN14" s="8"/>
      <c r="CO14" s="8"/>
      <c r="CP14" s="8"/>
      <c r="CQ14" s="10"/>
      <c r="CR14" s="8"/>
      <c r="CS14" s="10"/>
      <c r="CT14" s="8"/>
      <c r="CU14" s="8"/>
      <c r="CV14" s="8"/>
      <c r="CW14" s="8"/>
      <c r="CX14" s="10"/>
      <c r="CY14" s="8"/>
      <c r="CZ14" s="10"/>
      <c r="DA14" s="8"/>
    </row>
    <row r="15" spans="1:105" ht="12.75">
      <c r="A15" s="8"/>
      <c r="B15" s="8"/>
      <c r="C15" s="8"/>
      <c r="D15" s="10"/>
      <c r="E15" s="8"/>
      <c r="F15" s="10"/>
      <c r="G15" s="8"/>
      <c r="H15" s="8"/>
      <c r="I15" s="8"/>
      <c r="J15" s="8"/>
      <c r="K15" s="8"/>
      <c r="L15" s="10"/>
      <c r="M15" s="8"/>
      <c r="N15" s="10"/>
      <c r="O15" s="8"/>
      <c r="P15" s="8"/>
      <c r="Q15" s="8"/>
      <c r="R15" s="8"/>
      <c r="S15" s="10"/>
      <c r="T15" s="8"/>
      <c r="U15" s="10"/>
      <c r="V15" s="8"/>
      <c r="W15" s="8"/>
      <c r="X15" s="8"/>
      <c r="Y15" s="8"/>
      <c r="Z15" s="10"/>
      <c r="AA15" s="8"/>
      <c r="AB15" s="10"/>
      <c r="AC15" s="8"/>
      <c r="AD15" s="8"/>
      <c r="AE15" s="8"/>
      <c r="AF15" s="8"/>
      <c r="AG15" s="10"/>
      <c r="AH15" s="8"/>
      <c r="AI15" s="10"/>
      <c r="AJ15" s="8"/>
      <c r="AK15" s="8"/>
      <c r="AL15" s="8"/>
      <c r="AM15" s="8"/>
      <c r="AN15" s="10"/>
      <c r="AO15" s="8"/>
      <c r="AP15" s="10"/>
      <c r="AQ15" s="8"/>
      <c r="AR15" s="8"/>
      <c r="AS15" s="8"/>
      <c r="AT15" s="8"/>
      <c r="AU15" s="10"/>
      <c r="AV15" s="8"/>
      <c r="AW15" s="10"/>
      <c r="AX15" s="8"/>
      <c r="AY15" s="8"/>
      <c r="AZ15" s="8"/>
      <c r="BA15" s="8"/>
      <c r="BB15" s="10"/>
      <c r="BC15" s="8"/>
      <c r="BD15" s="10"/>
      <c r="BE15" s="8"/>
      <c r="BF15" s="8"/>
      <c r="BG15" s="8"/>
      <c r="BH15" s="10"/>
      <c r="BI15" s="8"/>
      <c r="BJ15" s="10"/>
      <c r="BK15" s="8"/>
      <c r="BL15" s="8"/>
      <c r="BM15" s="8"/>
      <c r="BN15" s="8"/>
      <c r="BO15" s="10"/>
      <c r="BP15" s="8"/>
      <c r="BQ15" s="10"/>
      <c r="BR15" s="8"/>
      <c r="BS15" s="8"/>
      <c r="BT15" s="8"/>
      <c r="BU15" s="8"/>
      <c r="BV15" s="10"/>
      <c r="BW15" s="8"/>
      <c r="BX15" s="10"/>
      <c r="BY15" s="8"/>
      <c r="BZ15" s="8"/>
      <c r="CA15" s="8"/>
      <c r="CB15" s="8"/>
      <c r="CC15" s="10"/>
      <c r="CD15" s="8"/>
      <c r="CE15" s="10"/>
      <c r="CF15" s="8"/>
      <c r="CG15" s="8"/>
      <c r="CH15" s="8"/>
      <c r="CI15" s="8"/>
      <c r="CJ15" s="10"/>
      <c r="CK15" s="8"/>
      <c r="CL15" s="10"/>
      <c r="CM15" s="8"/>
      <c r="CN15" s="8"/>
      <c r="CO15" s="8"/>
      <c r="CP15" s="8"/>
      <c r="CQ15" s="10"/>
      <c r="CR15" s="8"/>
      <c r="CS15" s="10"/>
      <c r="CT15" s="8"/>
      <c r="CU15" s="8"/>
      <c r="CV15" s="8"/>
      <c r="CW15" s="8"/>
      <c r="CX15" s="10"/>
      <c r="CY15" s="8"/>
      <c r="CZ15" s="10"/>
      <c r="DA15" s="8"/>
    </row>
    <row r="16" spans="1:105" ht="12.75">
      <c r="A16" s="8"/>
      <c r="B16" s="8"/>
      <c r="C16" s="8"/>
      <c r="D16" s="10"/>
      <c r="E16" s="8"/>
      <c r="F16" s="10"/>
      <c r="G16" s="8"/>
      <c r="H16" s="8"/>
      <c r="I16" s="8"/>
      <c r="J16" s="8"/>
      <c r="K16" s="8"/>
      <c r="L16" s="10"/>
      <c r="M16" s="8"/>
      <c r="N16" s="10"/>
      <c r="O16" s="8"/>
      <c r="P16" s="8"/>
      <c r="Q16" s="8"/>
      <c r="R16" s="8"/>
      <c r="S16" s="10"/>
      <c r="T16" s="8"/>
      <c r="U16" s="10"/>
      <c r="V16" s="8"/>
      <c r="W16" s="8"/>
      <c r="X16" s="8"/>
      <c r="Y16" s="8"/>
      <c r="Z16" s="10"/>
      <c r="AA16" s="8"/>
      <c r="AB16" s="10"/>
      <c r="AC16" s="8"/>
      <c r="AD16" s="8"/>
      <c r="AE16" s="8"/>
      <c r="AF16" s="8"/>
      <c r="AG16" s="10"/>
      <c r="AH16" s="8"/>
      <c r="AI16" s="10"/>
      <c r="AJ16" s="8"/>
      <c r="AK16" s="8"/>
      <c r="AL16" s="8"/>
      <c r="AM16" s="8"/>
      <c r="AN16" s="10"/>
      <c r="AO16" s="8"/>
      <c r="AP16" s="10"/>
      <c r="AQ16" s="8"/>
      <c r="AR16" s="8"/>
      <c r="AS16" s="8"/>
      <c r="AT16" s="8"/>
      <c r="AU16" s="10"/>
      <c r="AV16" s="8"/>
      <c r="AW16" s="10"/>
      <c r="AX16" s="8"/>
      <c r="AY16" s="8"/>
      <c r="AZ16" s="8"/>
      <c r="BA16" s="8"/>
      <c r="BB16" s="10"/>
      <c r="BC16" s="8"/>
      <c r="BD16" s="10"/>
      <c r="BE16" s="8"/>
      <c r="BF16" s="8"/>
      <c r="BG16" s="8"/>
      <c r="BH16" s="10"/>
      <c r="BI16" s="8"/>
      <c r="BJ16" s="10"/>
      <c r="BK16" s="8"/>
      <c r="BL16" s="8"/>
      <c r="BM16" s="8"/>
      <c r="BN16" s="8"/>
      <c r="BO16" s="10"/>
      <c r="BP16" s="8"/>
      <c r="BQ16" s="10"/>
      <c r="BR16" s="8"/>
      <c r="BS16" s="8"/>
      <c r="BT16" s="8"/>
      <c r="BU16" s="8"/>
      <c r="BV16" s="10"/>
      <c r="BW16" s="8"/>
      <c r="BX16" s="10"/>
      <c r="BY16" s="8"/>
      <c r="BZ16" s="8"/>
      <c r="CA16" s="8"/>
      <c r="CB16" s="8"/>
      <c r="CC16" s="10"/>
      <c r="CD16" s="8"/>
      <c r="CE16" s="10"/>
      <c r="CF16" s="8"/>
      <c r="CG16" s="8"/>
      <c r="CH16" s="8"/>
      <c r="CI16" s="8"/>
      <c r="CJ16" s="10"/>
      <c r="CK16" s="8"/>
      <c r="CL16" s="10"/>
      <c r="CM16" s="8"/>
      <c r="CN16" s="8"/>
      <c r="CO16" s="8"/>
      <c r="CP16" s="8"/>
      <c r="CQ16" s="10"/>
      <c r="CR16" s="8"/>
      <c r="CS16" s="10"/>
      <c r="CT16" s="8"/>
      <c r="CU16" s="8"/>
      <c r="CV16" s="8"/>
      <c r="CW16" s="8"/>
      <c r="CX16" s="10"/>
      <c r="CY16" s="8"/>
      <c r="CZ16" s="10"/>
      <c r="DA16" s="8"/>
    </row>
    <row r="17" spans="1:105" ht="12.75">
      <c r="A17" s="19" t="s">
        <v>110</v>
      </c>
      <c r="B17" s="8"/>
      <c r="C17" s="8"/>
      <c r="D17" s="10"/>
      <c r="E17" s="8"/>
      <c r="F17" s="10"/>
      <c r="G17" s="8"/>
      <c r="H17" s="8"/>
      <c r="I17" s="19" t="s">
        <v>110</v>
      </c>
      <c r="J17" s="8"/>
      <c r="K17" s="8"/>
      <c r="L17" s="10"/>
      <c r="M17" s="8"/>
      <c r="N17" s="10"/>
      <c r="O17" s="8"/>
      <c r="P17" s="19" t="s">
        <v>110</v>
      </c>
      <c r="Q17" s="8"/>
      <c r="R17" s="8"/>
      <c r="S17" s="10"/>
      <c r="T17" s="8"/>
      <c r="U17" s="10"/>
      <c r="V17" s="8"/>
      <c r="W17" s="19" t="s">
        <v>110</v>
      </c>
      <c r="X17" s="8"/>
      <c r="Y17" s="8"/>
      <c r="Z17" s="10"/>
      <c r="AA17" s="8"/>
      <c r="AB17" s="10"/>
      <c r="AC17" s="8"/>
      <c r="AD17" s="19" t="s">
        <v>110</v>
      </c>
      <c r="AE17" s="8"/>
      <c r="AF17" s="8"/>
      <c r="AG17" s="10"/>
      <c r="AH17" s="8"/>
      <c r="AI17" s="10"/>
      <c r="AJ17" s="8"/>
      <c r="AK17" s="19" t="s">
        <v>110</v>
      </c>
      <c r="AL17" s="8"/>
      <c r="AM17" s="8"/>
      <c r="AN17" s="10"/>
      <c r="AO17" s="8"/>
      <c r="AP17" s="10"/>
      <c r="AQ17" s="8"/>
      <c r="AR17" s="19" t="s">
        <v>110</v>
      </c>
      <c r="AS17" s="8"/>
      <c r="AT17" s="8"/>
      <c r="AU17" s="10"/>
      <c r="AV17" s="8"/>
      <c r="AW17" s="10"/>
      <c r="AX17" s="8"/>
      <c r="AY17" s="19" t="s">
        <v>110</v>
      </c>
      <c r="AZ17" s="8"/>
      <c r="BA17" s="8"/>
      <c r="BB17" s="10"/>
      <c r="BC17" s="8"/>
      <c r="BD17" s="10"/>
      <c r="BE17" s="19" t="s">
        <v>110</v>
      </c>
      <c r="BF17" s="8"/>
      <c r="BG17" s="8"/>
      <c r="BH17" s="10"/>
      <c r="BI17" s="8"/>
      <c r="BJ17" s="10"/>
      <c r="BK17" s="8"/>
      <c r="BL17" s="19" t="s">
        <v>110</v>
      </c>
      <c r="BM17" s="8"/>
      <c r="BN17" s="8"/>
      <c r="BO17" s="10"/>
      <c r="BP17" s="8"/>
      <c r="BQ17" s="10"/>
      <c r="BR17" s="8"/>
      <c r="BS17" s="19" t="s">
        <v>110</v>
      </c>
      <c r="BT17" s="8"/>
      <c r="BU17" s="8"/>
      <c r="BV17" s="10"/>
      <c r="BW17" s="8"/>
      <c r="BX17" s="10"/>
      <c r="BY17" s="8"/>
      <c r="BZ17" s="19" t="s">
        <v>110</v>
      </c>
      <c r="CA17" s="8"/>
      <c r="CB17" s="8"/>
      <c r="CC17" s="10"/>
      <c r="CD17" s="8"/>
      <c r="CE17" s="10"/>
      <c r="CF17" s="8"/>
      <c r="CG17" s="19" t="s">
        <v>110</v>
      </c>
      <c r="CH17" s="8"/>
      <c r="CI17" s="8"/>
      <c r="CJ17" s="10"/>
      <c r="CK17" s="8"/>
      <c r="CL17" s="10"/>
      <c r="CM17" s="8"/>
      <c r="CN17" s="19" t="s">
        <v>110</v>
      </c>
      <c r="CO17" s="8"/>
      <c r="CP17" s="8"/>
      <c r="CQ17" s="10"/>
      <c r="CR17" s="8"/>
      <c r="CS17" s="10"/>
      <c r="CT17" s="8"/>
      <c r="CU17" s="19" t="s">
        <v>110</v>
      </c>
      <c r="CV17" s="8"/>
      <c r="CW17" s="8"/>
      <c r="CX17" s="10"/>
      <c r="CY17" s="8"/>
      <c r="CZ17" s="10"/>
      <c r="DA17" s="8"/>
    </row>
    <row r="18" spans="1:105" ht="12.75">
      <c r="A18" s="19"/>
      <c r="B18" s="8"/>
      <c r="C18" s="8"/>
      <c r="D18" s="10"/>
      <c r="E18" s="8"/>
      <c r="F18" s="10"/>
      <c r="G18" s="8"/>
      <c r="H18" s="8"/>
      <c r="I18" s="19"/>
      <c r="J18" s="8"/>
      <c r="K18" s="8"/>
      <c r="L18" s="10"/>
      <c r="M18" s="8"/>
      <c r="N18" s="10"/>
      <c r="O18" s="8"/>
      <c r="P18" s="19"/>
      <c r="Q18" s="8"/>
      <c r="R18" s="8"/>
      <c r="S18" s="10"/>
      <c r="T18" s="8"/>
      <c r="U18" s="10"/>
      <c r="V18" s="8"/>
      <c r="W18" s="19"/>
      <c r="X18" s="8"/>
      <c r="Y18" s="8"/>
      <c r="Z18" s="10"/>
      <c r="AA18" s="8"/>
      <c r="AB18" s="10"/>
      <c r="AC18" s="8"/>
      <c r="AD18" s="19"/>
      <c r="AE18" s="8"/>
      <c r="AF18" s="8"/>
      <c r="AG18" s="10"/>
      <c r="AH18" s="8"/>
      <c r="AI18" s="10"/>
      <c r="AJ18" s="8"/>
      <c r="AK18" s="19"/>
      <c r="AL18" s="8"/>
      <c r="AM18" s="8"/>
      <c r="AN18" s="10"/>
      <c r="AO18" s="8"/>
      <c r="AP18" s="10"/>
      <c r="AQ18" s="8"/>
      <c r="AR18" s="19"/>
      <c r="AS18" s="8"/>
      <c r="AT18" s="8"/>
      <c r="AU18" s="10"/>
      <c r="AV18" s="8"/>
      <c r="AW18" s="10"/>
      <c r="AX18" s="8"/>
      <c r="AY18" s="19"/>
      <c r="AZ18" s="8"/>
      <c r="BA18" s="8"/>
      <c r="BB18" s="10"/>
      <c r="BC18" s="8"/>
      <c r="BD18" s="10"/>
      <c r="BE18" s="19"/>
      <c r="BF18" s="8"/>
      <c r="BG18" s="8"/>
      <c r="BH18" s="10"/>
      <c r="BI18" s="8"/>
      <c r="BJ18" s="10"/>
      <c r="BK18" s="8"/>
      <c r="BL18" s="19"/>
      <c r="BM18" s="8"/>
      <c r="BN18" s="8"/>
      <c r="BO18" s="10"/>
      <c r="BP18" s="8"/>
      <c r="BQ18" s="10"/>
      <c r="BR18" s="8"/>
      <c r="BS18" s="19"/>
      <c r="BT18" s="8"/>
      <c r="BU18" s="8"/>
      <c r="BV18" s="10"/>
      <c r="BW18" s="8"/>
      <c r="BX18" s="10"/>
      <c r="BY18" s="8"/>
      <c r="BZ18" s="19"/>
      <c r="CA18" s="8"/>
      <c r="CB18" s="8"/>
      <c r="CC18" s="10"/>
      <c r="CD18" s="8"/>
      <c r="CE18" s="10"/>
      <c r="CF18" s="8"/>
      <c r="CG18" s="19"/>
      <c r="CH18" s="8"/>
      <c r="CI18" s="8"/>
      <c r="CJ18" s="10"/>
      <c r="CK18" s="8"/>
      <c r="CL18" s="10"/>
      <c r="CM18" s="8"/>
      <c r="CN18" s="19"/>
      <c r="CO18" s="8"/>
      <c r="CP18" s="8"/>
      <c r="CQ18" s="10"/>
      <c r="CR18" s="8"/>
      <c r="CS18" s="10"/>
      <c r="CT18" s="8"/>
      <c r="CU18" s="19"/>
      <c r="CV18" s="8"/>
      <c r="CW18" s="8"/>
      <c r="CX18" s="10"/>
      <c r="CY18" s="8"/>
      <c r="CZ18" s="10"/>
      <c r="DA18" s="8"/>
    </row>
    <row r="19" spans="1:105" s="29" customFormat="1" ht="12.75">
      <c r="A19" s="25"/>
      <c r="B19" s="26"/>
      <c r="C19" s="26"/>
      <c r="D19" s="27" t="s">
        <v>99</v>
      </c>
      <c r="E19" s="26" t="s">
        <v>100</v>
      </c>
      <c r="F19" s="28" t="s">
        <v>101</v>
      </c>
      <c r="G19" s="26" t="s">
        <v>100</v>
      </c>
      <c r="H19" s="26"/>
      <c r="I19" s="27" t="s">
        <v>99</v>
      </c>
      <c r="J19" s="26" t="s">
        <v>100</v>
      </c>
      <c r="K19" s="28" t="s">
        <v>101</v>
      </c>
      <c r="L19" s="26" t="s">
        <v>100</v>
      </c>
      <c r="M19" s="64"/>
      <c r="N19" s="65"/>
      <c r="O19" s="64"/>
      <c r="P19" s="27" t="s">
        <v>99</v>
      </c>
      <c r="Q19" s="26" t="s">
        <v>100</v>
      </c>
      <c r="R19" s="28" t="s">
        <v>101</v>
      </c>
      <c r="S19" s="26" t="s">
        <v>100</v>
      </c>
      <c r="T19" s="64"/>
      <c r="U19" s="65"/>
      <c r="V19" s="64"/>
      <c r="W19" s="27" t="s">
        <v>99</v>
      </c>
      <c r="X19" s="26" t="s">
        <v>100</v>
      </c>
      <c r="Y19" s="28" t="s">
        <v>101</v>
      </c>
      <c r="Z19" s="26" t="s">
        <v>100</v>
      </c>
      <c r="AA19" s="64"/>
      <c r="AB19" s="65"/>
      <c r="AC19" s="64"/>
      <c r="AD19" s="27" t="s">
        <v>99</v>
      </c>
      <c r="AE19" s="26" t="s">
        <v>100</v>
      </c>
      <c r="AF19" s="28" t="s">
        <v>101</v>
      </c>
      <c r="AG19" s="26" t="s">
        <v>100</v>
      </c>
      <c r="AH19" s="64"/>
      <c r="AI19" s="65"/>
      <c r="AJ19" s="64"/>
      <c r="AK19" s="27" t="s">
        <v>99</v>
      </c>
      <c r="AL19" s="26" t="s">
        <v>100</v>
      </c>
      <c r="AM19" s="28" t="s">
        <v>101</v>
      </c>
      <c r="AN19" s="26" t="s">
        <v>100</v>
      </c>
      <c r="AO19" s="64"/>
      <c r="AP19" s="65"/>
      <c r="AQ19" s="64"/>
      <c r="AR19" s="27" t="s">
        <v>99</v>
      </c>
      <c r="AS19" s="26" t="s">
        <v>100</v>
      </c>
      <c r="AT19" s="28" t="s">
        <v>101</v>
      </c>
      <c r="AU19" s="26" t="s">
        <v>100</v>
      </c>
      <c r="AV19" s="64"/>
      <c r="AW19" s="65"/>
      <c r="AX19" s="64"/>
      <c r="AY19" s="89" t="s">
        <v>99</v>
      </c>
      <c r="AZ19" s="44" t="s">
        <v>100</v>
      </c>
      <c r="BA19" s="88" t="s">
        <v>101</v>
      </c>
      <c r="BB19" s="44" t="s">
        <v>100</v>
      </c>
      <c r="BC19" s="64"/>
      <c r="BD19" s="65"/>
      <c r="BE19" s="89" t="s">
        <v>99</v>
      </c>
      <c r="BF19" s="44" t="s">
        <v>100</v>
      </c>
      <c r="BG19" s="88" t="s">
        <v>101</v>
      </c>
      <c r="BH19" s="44" t="s">
        <v>100</v>
      </c>
      <c r="BI19" s="64"/>
      <c r="BJ19" s="65"/>
      <c r="BK19" s="64"/>
      <c r="BL19" s="89" t="s">
        <v>99</v>
      </c>
      <c r="BM19" s="44" t="s">
        <v>100</v>
      </c>
      <c r="BN19" s="88" t="s">
        <v>101</v>
      </c>
      <c r="BO19" s="44" t="s">
        <v>100</v>
      </c>
      <c r="BP19" s="64"/>
      <c r="BQ19" s="65"/>
      <c r="BR19" s="64"/>
      <c r="BS19" s="89" t="s">
        <v>99</v>
      </c>
      <c r="BT19" s="44" t="s">
        <v>100</v>
      </c>
      <c r="BU19" s="88" t="s">
        <v>101</v>
      </c>
      <c r="BV19" s="44" t="s">
        <v>100</v>
      </c>
      <c r="BW19" s="64"/>
      <c r="BX19" s="65"/>
      <c r="BY19" s="64"/>
      <c r="BZ19" s="89" t="s">
        <v>99</v>
      </c>
      <c r="CA19" s="44" t="s">
        <v>100</v>
      </c>
      <c r="CB19" s="88" t="s">
        <v>101</v>
      </c>
      <c r="CC19" s="44" t="s">
        <v>100</v>
      </c>
      <c r="CD19" s="64"/>
      <c r="CE19" s="65"/>
      <c r="CF19" s="64"/>
      <c r="CG19" s="89" t="s">
        <v>99</v>
      </c>
      <c r="CH19" s="44" t="s">
        <v>100</v>
      </c>
      <c r="CI19" s="88" t="s">
        <v>101</v>
      </c>
      <c r="CJ19" s="44" t="s">
        <v>100</v>
      </c>
      <c r="CK19" s="64"/>
      <c r="CL19" s="65"/>
      <c r="CM19" s="64"/>
      <c r="CN19" s="89" t="s">
        <v>99</v>
      </c>
      <c r="CO19" s="44" t="s">
        <v>100</v>
      </c>
      <c r="CP19" s="88" t="s">
        <v>101</v>
      </c>
      <c r="CQ19" s="44" t="s">
        <v>100</v>
      </c>
      <c r="CR19" s="64"/>
      <c r="CS19" s="65"/>
      <c r="CT19" s="64"/>
      <c r="CU19" s="89" t="s">
        <v>99</v>
      </c>
      <c r="CV19" s="44" t="s">
        <v>100</v>
      </c>
      <c r="CW19" s="88" t="s">
        <v>101</v>
      </c>
      <c r="CX19" s="44" t="s">
        <v>100</v>
      </c>
      <c r="CY19" s="64"/>
      <c r="CZ19" s="65"/>
      <c r="DA19" s="64"/>
    </row>
    <row r="20" spans="1:105" ht="12.75">
      <c r="A20" s="12"/>
      <c r="B20" s="8"/>
      <c r="C20" s="8"/>
      <c r="D20" s="10"/>
      <c r="E20" s="8"/>
      <c r="F20" s="10"/>
      <c r="G20" s="8"/>
      <c r="H20" s="8"/>
      <c r="I20" s="10"/>
      <c r="J20" s="8"/>
      <c r="K20" s="10"/>
      <c r="L20" s="8"/>
      <c r="M20" s="54"/>
      <c r="N20" s="55"/>
      <c r="O20" s="54"/>
      <c r="P20" s="10"/>
      <c r="Q20" s="8"/>
      <c r="R20" s="10"/>
      <c r="S20" s="8"/>
      <c r="T20" s="54"/>
      <c r="U20" s="55"/>
      <c r="V20" s="54"/>
      <c r="W20" s="10"/>
      <c r="X20" s="8"/>
      <c r="Y20" s="10"/>
      <c r="Z20" s="8"/>
      <c r="AA20" s="54"/>
      <c r="AB20" s="55"/>
      <c r="AC20" s="54"/>
      <c r="AD20" s="10"/>
      <c r="AE20" s="8"/>
      <c r="AF20" s="10"/>
      <c r="AG20" s="8"/>
      <c r="AH20" s="54"/>
      <c r="AI20" s="55"/>
      <c r="AJ20" s="54"/>
      <c r="AK20" s="10"/>
      <c r="AL20" s="8"/>
      <c r="AM20" s="10"/>
      <c r="AN20" s="8"/>
      <c r="AO20" s="54"/>
      <c r="AP20" s="55"/>
      <c r="AQ20" s="54"/>
      <c r="AR20" s="10"/>
      <c r="AS20" s="8"/>
      <c r="AT20" s="10"/>
      <c r="AU20" s="8"/>
      <c r="AV20" s="54"/>
      <c r="AW20" s="55"/>
      <c r="AX20" s="54"/>
      <c r="AY20" s="10"/>
      <c r="AZ20" s="8"/>
      <c r="BA20" s="10"/>
      <c r="BB20" s="8"/>
      <c r="BC20" s="54"/>
      <c r="BD20" s="55"/>
      <c r="BE20" s="10"/>
      <c r="BF20" s="8"/>
      <c r="BG20" s="10"/>
      <c r="BH20" s="8"/>
      <c r="BI20" s="54"/>
      <c r="BJ20" s="55"/>
      <c r="BK20" s="54"/>
      <c r="BL20" s="10"/>
      <c r="BM20" s="8"/>
      <c r="BN20" s="10"/>
      <c r="BO20" s="8"/>
      <c r="BP20" s="54"/>
      <c r="BQ20" s="55"/>
      <c r="BR20" s="54"/>
      <c r="BS20" s="10"/>
      <c r="BT20" s="8"/>
      <c r="BU20" s="10"/>
      <c r="BV20" s="8"/>
      <c r="BW20" s="54"/>
      <c r="BX20" s="55"/>
      <c r="BY20" s="54"/>
      <c r="BZ20" s="10"/>
      <c r="CA20" s="8"/>
      <c r="CB20" s="10"/>
      <c r="CC20" s="8"/>
      <c r="CD20" s="54"/>
      <c r="CE20" s="55"/>
      <c r="CF20" s="54"/>
      <c r="CG20" s="10"/>
      <c r="CH20" s="8"/>
      <c r="CI20" s="10"/>
      <c r="CJ20" s="8"/>
      <c r="CK20" s="54"/>
      <c r="CL20" s="55"/>
      <c r="CM20" s="54"/>
      <c r="CN20" s="10"/>
      <c r="CO20" s="8"/>
      <c r="CP20" s="10"/>
      <c r="CQ20" s="8"/>
      <c r="CR20" s="54"/>
      <c r="CS20" s="55"/>
      <c r="CT20" s="54"/>
      <c r="CU20" s="10"/>
      <c r="CV20" s="8"/>
      <c r="CW20" s="10"/>
      <c r="CX20" s="8"/>
      <c r="CY20" s="54"/>
      <c r="CZ20" s="55"/>
      <c r="DA20" s="54"/>
    </row>
    <row r="21" spans="1:105" ht="12.75">
      <c r="A21" s="8" t="s">
        <v>26</v>
      </c>
      <c r="B21" s="8"/>
      <c r="C21" s="8"/>
      <c r="D21" s="9">
        <v>110612.32</v>
      </c>
      <c r="E21" s="14">
        <f>+D21/D27</f>
        <v>0.004188345616404875</v>
      </c>
      <c r="F21" s="10">
        <v>52</v>
      </c>
      <c r="G21" s="14">
        <f>+F21/F27</f>
        <v>0.014643762320473106</v>
      </c>
      <c r="H21" s="14"/>
      <c r="I21" s="9">
        <v>95235.96</v>
      </c>
      <c r="J21" s="14">
        <f>+I21/I27</f>
        <v>0.003914117941279972</v>
      </c>
      <c r="K21" s="10">
        <v>63</v>
      </c>
      <c r="L21" s="14">
        <f>+K21/K27</f>
        <v>0.018292682926829267</v>
      </c>
      <c r="M21" s="56"/>
      <c r="N21" s="55"/>
      <c r="O21" s="56"/>
      <c r="P21" s="9">
        <v>183212.66</v>
      </c>
      <c r="Q21" s="14">
        <v>0.0048280565971135945</v>
      </c>
      <c r="R21" s="10">
        <v>114</v>
      </c>
      <c r="S21" s="14">
        <v>0.0202630643441166</v>
      </c>
      <c r="T21" s="56"/>
      <c r="U21" s="55"/>
      <c r="V21" s="56"/>
      <c r="W21" s="9">
        <v>408009.14</v>
      </c>
      <c r="X21" s="14">
        <v>0.008747488534651862</v>
      </c>
      <c r="Y21" s="10">
        <v>234</v>
      </c>
      <c r="Z21" s="14">
        <v>0.033116331729408435</v>
      </c>
      <c r="AA21" s="56"/>
      <c r="AB21" s="55"/>
      <c r="AC21" s="56"/>
      <c r="AD21" s="9">
        <v>533953.66</v>
      </c>
      <c r="AE21" s="14">
        <v>0.010659534477964933</v>
      </c>
      <c r="AF21" s="10">
        <v>360</v>
      </c>
      <c r="AG21" s="14">
        <v>0.04539722572509458</v>
      </c>
      <c r="AH21" s="56"/>
      <c r="AI21" s="55"/>
      <c r="AJ21" s="56"/>
      <c r="AK21" s="9">
        <v>626880.840000001</v>
      </c>
      <c r="AL21" s="14">
        <v>0.011182539803539152</v>
      </c>
      <c r="AM21" s="10">
        <v>519</v>
      </c>
      <c r="AN21" s="14">
        <v>0.05743691899070385</v>
      </c>
      <c r="AO21" s="56"/>
      <c r="AP21" s="55"/>
      <c r="AQ21" s="56"/>
      <c r="AR21" s="9">
        <v>738331.470000001</v>
      </c>
      <c r="AS21" s="14">
        <v>0.010925565460742455</v>
      </c>
      <c r="AT21" s="10">
        <v>732</v>
      </c>
      <c r="AU21" s="14">
        <v>0.06618444846292948</v>
      </c>
      <c r="AV21" s="56"/>
      <c r="AW21" s="55"/>
      <c r="AX21" s="56"/>
      <c r="AY21" s="9">
        <v>1408952.21</v>
      </c>
      <c r="AZ21" s="14">
        <v>0.019354858598278988</v>
      </c>
      <c r="BA21" s="10">
        <v>1041</v>
      </c>
      <c r="BB21" s="14">
        <v>0.08562263530185886</v>
      </c>
      <c r="BC21" s="56"/>
      <c r="BD21" s="55"/>
      <c r="BE21" s="9">
        <v>1953578.27</v>
      </c>
      <c r="BF21" s="14">
        <v>0.030266359975295587</v>
      </c>
      <c r="BG21" s="10">
        <v>847</v>
      </c>
      <c r="BH21" s="14">
        <v>0.07643024724778921</v>
      </c>
      <c r="BI21" s="56"/>
      <c r="BJ21" s="55"/>
      <c r="BK21" s="56"/>
      <c r="BL21" s="9">
        <v>2011842.43</v>
      </c>
      <c r="BM21" s="14">
        <v>0.0359747000888646</v>
      </c>
      <c r="BN21" s="10">
        <v>987</v>
      </c>
      <c r="BO21" s="14">
        <v>0.09682165979988229</v>
      </c>
      <c r="BP21" s="56"/>
      <c r="BQ21" s="55"/>
      <c r="BR21" s="56"/>
      <c r="BS21" s="9">
        <v>2082137.5</v>
      </c>
      <c r="BT21" s="14">
        <v>0.03877547637536064</v>
      </c>
      <c r="BU21" s="10">
        <v>1024</v>
      </c>
      <c r="BV21" s="14">
        <v>0.10156714937512398</v>
      </c>
      <c r="BW21" s="56"/>
      <c r="BX21" s="55"/>
      <c r="BY21" s="56"/>
      <c r="BZ21" s="9">
        <v>2463848.12</v>
      </c>
      <c r="CA21" s="14">
        <v>0.046501126279049586</v>
      </c>
      <c r="CB21" s="10">
        <v>1172</v>
      </c>
      <c r="CC21" s="14">
        <v>0.11862348178137652</v>
      </c>
      <c r="CD21" s="56"/>
      <c r="CE21" s="55"/>
      <c r="CF21" s="56"/>
      <c r="CG21" s="9">
        <v>2085413.24</v>
      </c>
      <c r="CH21" s="14">
        <v>0.04050120462031803</v>
      </c>
      <c r="CI21" s="10">
        <v>1187</v>
      </c>
      <c r="CJ21" s="14">
        <v>0.12612899798108596</v>
      </c>
      <c r="CK21" s="56"/>
      <c r="CL21" s="55"/>
      <c r="CM21" s="56"/>
      <c r="CN21" s="9">
        <v>2803083.32</v>
      </c>
      <c r="CO21" s="14">
        <v>0.06141016619270955</v>
      </c>
      <c r="CP21" s="10">
        <v>1495</v>
      </c>
      <c r="CQ21" s="14">
        <v>0.1765678516593835</v>
      </c>
      <c r="CR21" s="56"/>
      <c r="CS21" s="55"/>
      <c r="CT21" s="56"/>
      <c r="CU21" s="9">
        <v>5141905.25</v>
      </c>
      <c r="CV21" s="14">
        <v>0.07178877571512125</v>
      </c>
      <c r="CW21" s="10">
        <v>2945</v>
      </c>
      <c r="CX21" s="14">
        <v>0.21881269039304554</v>
      </c>
      <c r="CY21" s="56"/>
      <c r="CZ21" s="55"/>
      <c r="DA21" s="56"/>
    </row>
    <row r="22" spans="1:105" ht="12.75">
      <c r="A22" s="8" t="s">
        <v>27</v>
      </c>
      <c r="B22" s="8"/>
      <c r="C22" s="8"/>
      <c r="D22" s="9">
        <v>1027477.5</v>
      </c>
      <c r="E22" s="14">
        <f>+D22/$D$27</f>
        <v>0.038905529538478534</v>
      </c>
      <c r="F22" s="10">
        <v>240</v>
      </c>
      <c r="G22" s="14">
        <f>+F22/$F$27</f>
        <v>0.06758659532526048</v>
      </c>
      <c r="H22" s="14"/>
      <c r="I22" s="9">
        <v>942799.4799999992</v>
      </c>
      <c r="J22" s="14">
        <f>+I22/$I$27</f>
        <v>0.03874826651295818</v>
      </c>
      <c r="K22" s="10">
        <v>235</v>
      </c>
      <c r="L22" s="14">
        <f>+K22/$K$27</f>
        <v>0.06823461091753774</v>
      </c>
      <c r="M22" s="56"/>
      <c r="N22" s="55"/>
      <c r="O22" s="56"/>
      <c r="P22" s="9">
        <v>1342121.2</v>
      </c>
      <c r="Q22" s="14">
        <v>0.03536784583437634</v>
      </c>
      <c r="R22" s="10">
        <v>386</v>
      </c>
      <c r="S22" s="14">
        <v>0.06861002488446498</v>
      </c>
      <c r="T22" s="56"/>
      <c r="U22" s="55"/>
      <c r="V22" s="56"/>
      <c r="W22" s="9">
        <v>2945993.08</v>
      </c>
      <c r="X22" s="14">
        <v>0.06316044951949792</v>
      </c>
      <c r="Y22" s="10">
        <v>739</v>
      </c>
      <c r="Z22" s="14">
        <v>0.10458533823945655</v>
      </c>
      <c r="AA22" s="56"/>
      <c r="AB22" s="55"/>
      <c r="AC22" s="56"/>
      <c r="AD22" s="9">
        <v>4117700.31</v>
      </c>
      <c r="AE22" s="14">
        <v>0.08220332907610732</v>
      </c>
      <c r="AF22" s="10">
        <v>918</v>
      </c>
      <c r="AG22" s="14">
        <v>0.11576292559899118</v>
      </c>
      <c r="AH22" s="56"/>
      <c r="AI22" s="55"/>
      <c r="AJ22" s="56"/>
      <c r="AK22" s="9">
        <v>4439308.01</v>
      </c>
      <c r="AL22" s="14">
        <v>0.07919007146875806</v>
      </c>
      <c r="AM22" s="10">
        <v>1053</v>
      </c>
      <c r="AN22" s="14">
        <v>0.11653386454183266</v>
      </c>
      <c r="AO22" s="56"/>
      <c r="AP22" s="55"/>
      <c r="AQ22" s="56"/>
      <c r="AR22" s="9">
        <v>5377434.3900000015</v>
      </c>
      <c r="AS22" s="14">
        <v>0.07957335400967347</v>
      </c>
      <c r="AT22" s="10">
        <v>1256</v>
      </c>
      <c r="AU22" s="14">
        <v>0.1135623869801085</v>
      </c>
      <c r="AV22" s="56"/>
      <c r="AW22" s="55"/>
      <c r="AX22" s="56"/>
      <c r="AY22" s="9">
        <v>6247694.399999992</v>
      </c>
      <c r="AZ22" s="14">
        <v>0.08582494198100551</v>
      </c>
      <c r="BA22" s="10">
        <v>1546</v>
      </c>
      <c r="BB22" s="14">
        <v>0.12715907221582498</v>
      </c>
      <c r="BC22" s="56"/>
      <c r="BD22" s="55"/>
      <c r="BE22" s="9">
        <v>6011493.719999997</v>
      </c>
      <c r="BF22" s="14">
        <v>0.09313475467699005</v>
      </c>
      <c r="BG22" s="10">
        <v>1635</v>
      </c>
      <c r="BH22" s="14">
        <v>0.14753654574986463</v>
      </c>
      <c r="BI22" s="56"/>
      <c r="BJ22" s="55"/>
      <c r="BK22" s="56"/>
      <c r="BL22" s="9">
        <v>7835881.780000009</v>
      </c>
      <c r="BM22" s="14">
        <v>0.14011708509761306</v>
      </c>
      <c r="BN22" s="10">
        <v>2014</v>
      </c>
      <c r="BO22" s="14">
        <v>0.19756719639003334</v>
      </c>
      <c r="BP22" s="56"/>
      <c r="BQ22" s="55"/>
      <c r="BR22" s="56"/>
      <c r="BS22" s="9">
        <v>8118904.919999991</v>
      </c>
      <c r="BT22" s="14">
        <v>0.15119770232237736</v>
      </c>
      <c r="BU22" s="10">
        <v>2163</v>
      </c>
      <c r="BV22" s="14">
        <v>0.21454076572108707</v>
      </c>
      <c r="BW22" s="56"/>
      <c r="BX22" s="55"/>
      <c r="BY22" s="56"/>
      <c r="BZ22" s="9">
        <v>9254447.780000003</v>
      </c>
      <c r="CA22" s="14">
        <v>0.17466265122732094</v>
      </c>
      <c r="CB22" s="10">
        <v>2427</v>
      </c>
      <c r="CC22" s="14">
        <v>0.24564777327935222</v>
      </c>
      <c r="CD22" s="56"/>
      <c r="CE22" s="55"/>
      <c r="CF22" s="56"/>
      <c r="CG22" s="9">
        <v>8917815.830000006</v>
      </c>
      <c r="CH22" s="14">
        <v>0.1731945864586251</v>
      </c>
      <c r="CI22" s="10">
        <v>2442</v>
      </c>
      <c r="CJ22" s="14">
        <v>0.25948358304112207</v>
      </c>
      <c r="CK22" s="56"/>
      <c r="CL22" s="55"/>
      <c r="CM22" s="56"/>
      <c r="CN22" s="9">
        <v>9469781.160000013</v>
      </c>
      <c r="CO22" s="14">
        <v>0.20746469813968688</v>
      </c>
      <c r="CP22" s="10">
        <v>2425</v>
      </c>
      <c r="CQ22" s="14">
        <v>0.2864060470060234</v>
      </c>
      <c r="CR22" s="56"/>
      <c r="CS22" s="55"/>
      <c r="CT22" s="56"/>
      <c r="CU22" s="9">
        <v>15913673.730000015</v>
      </c>
      <c r="CV22" s="14">
        <v>0.222178958705353</v>
      </c>
      <c r="CW22" s="10">
        <v>3935</v>
      </c>
      <c r="CX22" s="14">
        <v>0.29236941823315254</v>
      </c>
      <c r="CY22" s="56"/>
      <c r="CZ22" s="55"/>
      <c r="DA22" s="56"/>
    </row>
    <row r="23" spans="1:105" ht="12.75">
      <c r="A23" s="8" t="s">
        <v>28</v>
      </c>
      <c r="B23" s="8"/>
      <c r="C23" s="8"/>
      <c r="D23" s="9">
        <v>4954688.29</v>
      </c>
      <c r="E23" s="14">
        <f>+D23/$D$27</f>
        <v>0.18760972539111434</v>
      </c>
      <c r="F23" s="10">
        <v>611</v>
      </c>
      <c r="G23" s="14">
        <f>+F23/$F$27</f>
        <v>0.172064207265559</v>
      </c>
      <c r="H23" s="14"/>
      <c r="I23" s="9">
        <v>4628866.799999994</v>
      </c>
      <c r="J23" s="14">
        <f>+I23/$I$27</f>
        <v>0.19024253642925623</v>
      </c>
      <c r="K23" s="10">
        <v>617</v>
      </c>
      <c r="L23" s="14">
        <f>+K23/$K$27</f>
        <v>0.17915214866434379</v>
      </c>
      <c r="M23" s="56"/>
      <c r="N23" s="55"/>
      <c r="O23" s="56"/>
      <c r="P23" s="9">
        <v>6225411.210000001</v>
      </c>
      <c r="Q23" s="14">
        <v>0.16405327919034315</v>
      </c>
      <c r="R23" s="10">
        <v>976</v>
      </c>
      <c r="S23" s="14">
        <v>0.17348027017419126</v>
      </c>
      <c r="T23" s="56"/>
      <c r="U23" s="55"/>
      <c r="V23" s="56"/>
      <c r="W23" s="9">
        <v>8215593.0100000035</v>
      </c>
      <c r="X23" s="14">
        <v>0.1761377347094259</v>
      </c>
      <c r="Y23" s="10">
        <v>1321</v>
      </c>
      <c r="Z23" s="14">
        <v>0.1869515992074724</v>
      </c>
      <c r="AA23" s="56"/>
      <c r="AB23" s="55"/>
      <c r="AC23" s="56"/>
      <c r="AD23" s="9">
        <v>8345683.010000007</v>
      </c>
      <c r="AE23" s="14">
        <v>0.16660827043916374</v>
      </c>
      <c r="AF23" s="10">
        <v>1534</v>
      </c>
      <c r="AG23" s="14">
        <v>0.19344262295081968</v>
      </c>
      <c r="AH23" s="56"/>
      <c r="AI23" s="55"/>
      <c r="AJ23" s="56"/>
      <c r="AK23" s="9">
        <v>10446508.48999998</v>
      </c>
      <c r="AL23" s="14">
        <v>0.18634880753004712</v>
      </c>
      <c r="AM23" s="10">
        <v>1952</v>
      </c>
      <c r="AN23" s="14">
        <v>0.21602478972996902</v>
      </c>
      <c r="AO23" s="56"/>
      <c r="AP23" s="55"/>
      <c r="AQ23" s="56"/>
      <c r="AR23" s="9">
        <v>13291741.92</v>
      </c>
      <c r="AS23" s="14">
        <v>0.1966864509164893</v>
      </c>
      <c r="AT23" s="10">
        <v>2442</v>
      </c>
      <c r="AU23" s="14">
        <v>0.22079566003616635</v>
      </c>
      <c r="AV23" s="56"/>
      <c r="AW23" s="55"/>
      <c r="AX23" s="56"/>
      <c r="AY23" s="9">
        <v>17490636.660000026</v>
      </c>
      <c r="AZ23" s="14">
        <v>0.2402698948519877</v>
      </c>
      <c r="BA23" s="10">
        <v>3105</v>
      </c>
      <c r="BB23" s="14">
        <v>0.2553873992432966</v>
      </c>
      <c r="BC23" s="56"/>
      <c r="BD23" s="55"/>
      <c r="BE23" s="9">
        <v>17815992.499999974</v>
      </c>
      <c r="BF23" s="14">
        <v>0.2760192671073094</v>
      </c>
      <c r="BG23" s="10">
        <v>3269</v>
      </c>
      <c r="BH23" s="14">
        <v>0.2949828550803104</v>
      </c>
      <c r="BI23" s="56"/>
      <c r="BJ23" s="55"/>
      <c r="BK23" s="56"/>
      <c r="BL23" s="9">
        <v>17645236.229999997</v>
      </c>
      <c r="BM23" s="14">
        <v>0.31552276257113104</v>
      </c>
      <c r="BN23" s="10">
        <v>3223</v>
      </c>
      <c r="BO23" s="14">
        <v>0.3161663723759074</v>
      </c>
      <c r="BP23" s="56"/>
      <c r="BQ23" s="55"/>
      <c r="BR23" s="56"/>
      <c r="BS23" s="9">
        <v>18313718.319999974</v>
      </c>
      <c r="BT23" s="14">
        <v>0.3410548784900942</v>
      </c>
      <c r="BU23" s="10">
        <v>3403</v>
      </c>
      <c r="BV23" s="14">
        <v>0.33753223566752627</v>
      </c>
      <c r="BW23" s="56"/>
      <c r="BX23" s="55"/>
      <c r="BY23" s="56"/>
      <c r="BZ23" s="9">
        <v>18693969.98999995</v>
      </c>
      <c r="CA23" s="14">
        <v>0.3528182813321104</v>
      </c>
      <c r="CB23" s="10">
        <v>3352</v>
      </c>
      <c r="CC23" s="14">
        <v>0.33927125506072875</v>
      </c>
      <c r="CD23" s="56"/>
      <c r="CE23" s="55"/>
      <c r="CF23" s="56"/>
      <c r="CG23" s="9">
        <v>18717584.259999998</v>
      </c>
      <c r="CH23" s="14">
        <v>0.36351774102685946</v>
      </c>
      <c r="CI23" s="10">
        <v>3216</v>
      </c>
      <c r="CJ23" s="14">
        <v>0.3417277653809372</v>
      </c>
      <c r="CK23" s="56"/>
      <c r="CL23" s="55"/>
      <c r="CM23" s="56"/>
      <c r="CN23" s="9">
        <v>18020768.339999985</v>
      </c>
      <c r="CO23" s="14">
        <v>0.3948003866969316</v>
      </c>
      <c r="CP23" s="10">
        <v>2996</v>
      </c>
      <c r="CQ23" s="14">
        <v>0.3538443368371324</v>
      </c>
      <c r="CR23" s="56"/>
      <c r="CS23" s="55"/>
      <c r="CT23" s="56"/>
      <c r="CU23" s="9">
        <v>29017798.790000033</v>
      </c>
      <c r="CV23" s="14">
        <v>0.4051323678284092</v>
      </c>
      <c r="CW23" s="10">
        <v>4495</v>
      </c>
      <c r="CX23" s="14">
        <v>0.33397726428412217</v>
      </c>
      <c r="CY23" s="56"/>
      <c r="CZ23" s="55"/>
      <c r="DA23" s="56"/>
    </row>
    <row r="24" spans="1:105" ht="12.75">
      <c r="A24" s="8" t="s">
        <v>29</v>
      </c>
      <c r="B24" s="8"/>
      <c r="C24" s="8"/>
      <c r="D24" s="9">
        <v>6300666.550000002</v>
      </c>
      <c r="E24" s="14">
        <f>+D24/$D$27</f>
        <v>0.23857531534571677</v>
      </c>
      <c r="F24" s="10">
        <v>904</v>
      </c>
      <c r="G24" s="14">
        <f>+F24/$F$27</f>
        <v>0.25457617572514785</v>
      </c>
      <c r="H24" s="14"/>
      <c r="I24" s="9">
        <v>5866345.579999997</v>
      </c>
      <c r="J24" s="14">
        <f>+I24/$I$27</f>
        <v>0.24110187459050608</v>
      </c>
      <c r="K24" s="10">
        <v>883</v>
      </c>
      <c r="L24" s="14">
        <f>+K24/$K$27</f>
        <v>0.25638792102206737</v>
      </c>
      <c r="M24" s="56"/>
      <c r="N24" s="55"/>
      <c r="O24" s="56"/>
      <c r="P24" s="9">
        <v>9893976.179999981</v>
      </c>
      <c r="Q24" s="14">
        <v>0.2607280357565555</v>
      </c>
      <c r="R24" s="10">
        <v>1539</v>
      </c>
      <c r="S24" s="14">
        <v>0.2735513686455741</v>
      </c>
      <c r="T24" s="56"/>
      <c r="U24" s="55"/>
      <c r="V24" s="56"/>
      <c r="W24" s="9">
        <v>15136135.220000029</v>
      </c>
      <c r="X24" s="14">
        <v>0.3245103021365906</v>
      </c>
      <c r="Y24" s="10">
        <v>2252</v>
      </c>
      <c r="Z24" s="14">
        <v>0.31870931219926407</v>
      </c>
      <c r="AA24" s="56"/>
      <c r="AB24" s="55"/>
      <c r="AC24" s="56"/>
      <c r="AD24" s="9">
        <v>18500178.560000043</v>
      </c>
      <c r="AE24" s="14">
        <v>0.3693266026284532</v>
      </c>
      <c r="AF24" s="10">
        <v>2777</v>
      </c>
      <c r="AG24" s="14">
        <v>0.3501891551071879</v>
      </c>
      <c r="AH24" s="56"/>
      <c r="AI24" s="55"/>
      <c r="AJ24" s="56"/>
      <c r="AK24" s="9">
        <v>21230698.739999987</v>
      </c>
      <c r="AL24" s="14">
        <v>0.3787213112415399</v>
      </c>
      <c r="AM24" s="10">
        <v>3141</v>
      </c>
      <c r="AN24" s="14">
        <v>0.34760956175298807</v>
      </c>
      <c r="AO24" s="56"/>
      <c r="AP24" s="55"/>
      <c r="AQ24" s="56"/>
      <c r="AR24" s="9">
        <v>25285365.72999998</v>
      </c>
      <c r="AS24" s="14">
        <v>0.3741638135537259</v>
      </c>
      <c r="AT24" s="10">
        <v>3795</v>
      </c>
      <c r="AU24" s="14">
        <v>0.34312839059674505</v>
      </c>
      <c r="AV24" s="56"/>
      <c r="AW24" s="55"/>
      <c r="AX24" s="56"/>
      <c r="AY24" s="9">
        <v>26192010.869999956</v>
      </c>
      <c r="AZ24" s="14">
        <v>0.3598011793412327</v>
      </c>
      <c r="BA24" s="10">
        <v>3859</v>
      </c>
      <c r="BB24" s="14">
        <v>0.3174041783188024</v>
      </c>
      <c r="BC24" s="56"/>
      <c r="BD24" s="55"/>
      <c r="BE24" s="9">
        <v>24572064.00000005</v>
      </c>
      <c r="BF24" s="14">
        <v>0.3806896021422284</v>
      </c>
      <c r="BG24" s="10">
        <v>3568</v>
      </c>
      <c r="BH24" s="14">
        <v>0.3219635444865548</v>
      </c>
      <c r="BI24" s="56"/>
      <c r="BJ24" s="55"/>
      <c r="BK24" s="56"/>
      <c r="BL24" s="9">
        <v>23281895.249999996</v>
      </c>
      <c r="BM24" s="14">
        <v>0.4163145118274052</v>
      </c>
      <c r="BN24" s="10">
        <v>3345</v>
      </c>
      <c r="BO24" s="14">
        <v>0.32813419658622717</v>
      </c>
      <c r="BP24" s="56"/>
      <c r="BQ24" s="55"/>
      <c r="BR24" s="56"/>
      <c r="BS24" s="9">
        <v>21165586.650000054</v>
      </c>
      <c r="BT24" s="14">
        <v>0.3941649891602864</v>
      </c>
      <c r="BU24" s="10">
        <v>3011</v>
      </c>
      <c r="BV24" s="14">
        <v>0.29865106129736163</v>
      </c>
      <c r="BW24" s="56"/>
      <c r="BX24" s="55"/>
      <c r="BY24" s="56"/>
      <c r="BZ24" s="9">
        <v>19479386.30999999</v>
      </c>
      <c r="CA24" s="14">
        <v>0.3676417370400655</v>
      </c>
      <c r="CB24" s="10">
        <v>2592</v>
      </c>
      <c r="CC24" s="14">
        <v>0.2623481781376518</v>
      </c>
      <c r="CD24" s="56"/>
      <c r="CE24" s="55"/>
      <c r="CF24" s="56"/>
      <c r="CG24" s="9">
        <v>17585024.669999987</v>
      </c>
      <c r="CH24" s="14">
        <v>0.3415220872065673</v>
      </c>
      <c r="CI24" s="10">
        <v>2123</v>
      </c>
      <c r="CJ24" s="14">
        <v>0.2255870789501647</v>
      </c>
      <c r="CK24" s="56"/>
      <c r="CL24" s="55"/>
      <c r="CM24" s="56"/>
      <c r="CN24" s="9">
        <v>12012847.480000012</v>
      </c>
      <c r="CO24" s="14">
        <v>0.2631783917841135</v>
      </c>
      <c r="CP24" s="10">
        <v>1235</v>
      </c>
      <c r="CQ24" s="14">
        <v>0.145860399196882</v>
      </c>
      <c r="CR24" s="56"/>
      <c r="CS24" s="55"/>
      <c r="CT24" s="56"/>
      <c r="CU24" s="9">
        <v>16941722.91000004</v>
      </c>
      <c r="CV24" s="14">
        <v>0.23653208044114074</v>
      </c>
      <c r="CW24" s="10">
        <v>1678</v>
      </c>
      <c r="CX24" s="14">
        <v>0.1246749387027268</v>
      </c>
      <c r="CY24" s="56"/>
      <c r="CZ24" s="55"/>
      <c r="DA24" s="56"/>
    </row>
    <row r="25" spans="1:105" ht="12.75">
      <c r="A25" s="8" t="s">
        <v>30</v>
      </c>
      <c r="B25" s="8"/>
      <c r="C25" s="8"/>
      <c r="D25" s="9">
        <v>14016104.630000003</v>
      </c>
      <c r="E25" s="14">
        <f>+D25/$D$27</f>
        <v>0.5307210841082854</v>
      </c>
      <c r="F25" s="10">
        <v>1744</v>
      </c>
      <c r="G25" s="14">
        <f>+F25/$F$27</f>
        <v>0.49112925936355956</v>
      </c>
      <c r="H25" s="14"/>
      <c r="I25" s="9">
        <v>12798149.810000014</v>
      </c>
      <c r="J25" s="14">
        <f>+I25/$I$27</f>
        <v>0.5259932045259996</v>
      </c>
      <c r="K25" s="10">
        <v>1646</v>
      </c>
      <c r="L25" s="14">
        <f>+K25/$K$27</f>
        <v>0.47793263646922185</v>
      </c>
      <c r="M25" s="56"/>
      <c r="N25" s="55"/>
      <c r="O25" s="56"/>
      <c r="P25" s="9">
        <v>20302775.07999995</v>
      </c>
      <c r="Q25" s="14">
        <v>0.5350227826216114</v>
      </c>
      <c r="R25" s="10">
        <v>2611</v>
      </c>
      <c r="S25" s="14">
        <v>0.46409527195165307</v>
      </c>
      <c r="T25" s="56"/>
      <c r="U25" s="55"/>
      <c r="V25" s="56"/>
      <c r="W25" s="9">
        <v>19937273.24000002</v>
      </c>
      <c r="X25" s="14">
        <v>0.4274440250998337</v>
      </c>
      <c r="Y25" s="10">
        <v>2520</v>
      </c>
      <c r="Z25" s="14">
        <v>0.3566374186243985</v>
      </c>
      <c r="AA25" s="56"/>
      <c r="AB25" s="55"/>
      <c r="AC25" s="56"/>
      <c r="AD25" s="9">
        <v>18594133.50000001</v>
      </c>
      <c r="AE25" s="14">
        <v>0.37120226337831075</v>
      </c>
      <c r="AF25" s="10">
        <v>2341</v>
      </c>
      <c r="AG25" s="14">
        <v>0.29520807061790666</v>
      </c>
      <c r="AH25" s="56"/>
      <c r="AI25" s="55"/>
      <c r="AJ25" s="56"/>
      <c r="AK25" s="9">
        <v>19315500.28999999</v>
      </c>
      <c r="AL25" s="14">
        <v>0.34455726995611574</v>
      </c>
      <c r="AM25" s="10">
        <v>2371</v>
      </c>
      <c r="AN25" s="14">
        <v>0.2623948649845064</v>
      </c>
      <c r="AO25" s="56"/>
      <c r="AP25" s="55"/>
      <c r="AQ25" s="56"/>
      <c r="AR25" s="9">
        <v>22885456.659999948</v>
      </c>
      <c r="AS25" s="14">
        <v>0.3386508160593689</v>
      </c>
      <c r="AT25" s="10">
        <v>2835</v>
      </c>
      <c r="AU25" s="14">
        <v>0.2563291139240506</v>
      </c>
      <c r="AV25" s="56"/>
      <c r="AW25" s="55"/>
      <c r="AX25" s="56"/>
      <c r="AY25" s="9">
        <v>21456495.23999996</v>
      </c>
      <c r="AZ25" s="14">
        <v>0.29474912522749513</v>
      </c>
      <c r="BA25" s="10">
        <v>2607</v>
      </c>
      <c r="BB25" s="14">
        <v>0.21442671492021714</v>
      </c>
      <c r="BC25" s="56"/>
      <c r="BD25" s="55"/>
      <c r="BE25" s="9">
        <v>14193063.109999988</v>
      </c>
      <c r="BF25" s="14">
        <v>0.21989001609817652</v>
      </c>
      <c r="BG25" s="10">
        <v>1763</v>
      </c>
      <c r="BH25" s="14">
        <v>0.15908680743548095</v>
      </c>
      <c r="BI25" s="56"/>
      <c r="BJ25" s="55"/>
      <c r="BK25" s="56"/>
      <c r="BL25" s="9">
        <v>5148958.13</v>
      </c>
      <c r="BM25" s="14">
        <v>0.09207094041498624</v>
      </c>
      <c r="BN25" s="10">
        <v>625</v>
      </c>
      <c r="BO25" s="14">
        <v>0.06131057484794977</v>
      </c>
      <c r="BP25" s="56"/>
      <c r="BQ25" s="55"/>
      <c r="BR25" s="56"/>
      <c r="BS25" s="9">
        <v>4016929.72</v>
      </c>
      <c r="BT25" s="14">
        <v>0.07480695365188139</v>
      </c>
      <c r="BU25" s="10">
        <v>481</v>
      </c>
      <c r="BV25" s="14">
        <v>0.047708787938901015</v>
      </c>
      <c r="BW25" s="56"/>
      <c r="BX25" s="55"/>
      <c r="BY25" s="56"/>
      <c r="BZ25" s="9">
        <v>3093045.53</v>
      </c>
      <c r="CA25" s="14">
        <v>0.05837620412145359</v>
      </c>
      <c r="CB25" s="10">
        <v>337</v>
      </c>
      <c r="CC25" s="14">
        <v>0.034109311740890685</v>
      </c>
      <c r="CD25" s="56"/>
      <c r="CE25" s="55"/>
      <c r="CF25" s="56"/>
      <c r="CG25" s="9">
        <v>4184315.43</v>
      </c>
      <c r="CH25" s="14">
        <v>0.0812643806876301</v>
      </c>
      <c r="CI25" s="10">
        <v>443</v>
      </c>
      <c r="CJ25" s="14">
        <v>0.04707257464669004</v>
      </c>
      <c r="CK25" s="56"/>
      <c r="CL25" s="55"/>
      <c r="CM25" s="56"/>
      <c r="CN25" s="9">
        <v>3338784.87</v>
      </c>
      <c r="CO25" s="14">
        <v>0.07314635718655854</v>
      </c>
      <c r="CP25" s="10">
        <v>316</v>
      </c>
      <c r="CQ25" s="14">
        <v>0.03732136530057872</v>
      </c>
      <c r="CR25" s="56"/>
      <c r="CS25" s="55"/>
      <c r="CT25" s="56"/>
      <c r="CU25" s="9">
        <v>4610375.57</v>
      </c>
      <c r="CV25" s="14">
        <v>0.06436781730997562</v>
      </c>
      <c r="CW25" s="10">
        <v>406</v>
      </c>
      <c r="CX25" s="14">
        <v>0.03016568838695297</v>
      </c>
      <c r="CY25" s="56"/>
      <c r="CZ25" s="55"/>
      <c r="DA25" s="56"/>
    </row>
    <row r="26" spans="1:105" ht="12.75">
      <c r="A26" s="8"/>
      <c r="B26" s="8"/>
      <c r="C26" s="8"/>
      <c r="D26" s="9"/>
      <c r="E26" s="8"/>
      <c r="F26" s="10"/>
      <c r="G26" s="8"/>
      <c r="H26" s="8"/>
      <c r="I26" s="9"/>
      <c r="J26" s="8"/>
      <c r="K26" s="10"/>
      <c r="L26" s="8"/>
      <c r="M26" s="54"/>
      <c r="N26" s="55"/>
      <c r="O26" s="54"/>
      <c r="P26" s="9"/>
      <c r="Q26" s="8"/>
      <c r="R26" s="10"/>
      <c r="S26" s="8"/>
      <c r="T26" s="54"/>
      <c r="U26" s="55"/>
      <c r="V26" s="54"/>
      <c r="W26" s="9"/>
      <c r="X26" s="8"/>
      <c r="Y26" s="10"/>
      <c r="Z26" s="8"/>
      <c r="AA26" s="54"/>
      <c r="AB26" s="55"/>
      <c r="AC26" s="54"/>
      <c r="AD26" s="9"/>
      <c r="AE26" s="8"/>
      <c r="AF26" s="10"/>
      <c r="AG26" s="8"/>
      <c r="AH26" s="54"/>
      <c r="AI26" s="55"/>
      <c r="AJ26" s="54"/>
      <c r="AK26" s="9"/>
      <c r="AL26" s="8"/>
      <c r="AM26" s="10"/>
      <c r="AN26" s="8"/>
      <c r="AO26" s="54"/>
      <c r="AP26" s="55"/>
      <c r="AQ26" s="54"/>
      <c r="AR26" s="9"/>
      <c r="AS26" s="8"/>
      <c r="AT26" s="10"/>
      <c r="AU26" s="8"/>
      <c r="AV26" s="54"/>
      <c r="AW26" s="55"/>
      <c r="AX26" s="54"/>
      <c r="AY26" s="9"/>
      <c r="AZ26" s="8"/>
      <c r="BA26" s="10"/>
      <c r="BB26" s="8"/>
      <c r="BC26" s="54"/>
      <c r="BD26" s="55"/>
      <c r="BE26" s="9"/>
      <c r="BF26" s="8"/>
      <c r="BG26" s="10"/>
      <c r="BH26" s="8"/>
      <c r="BI26" s="54"/>
      <c r="BJ26" s="55"/>
      <c r="BK26" s="54"/>
      <c r="BL26" s="9"/>
      <c r="BM26" s="8"/>
      <c r="BN26" s="10"/>
      <c r="BO26" s="8"/>
      <c r="BP26" s="54"/>
      <c r="BQ26" s="55"/>
      <c r="BR26" s="54"/>
      <c r="BS26" s="9"/>
      <c r="BT26" s="8"/>
      <c r="BU26" s="10"/>
      <c r="BV26" s="8"/>
      <c r="BW26" s="54"/>
      <c r="BX26" s="55"/>
      <c r="BY26" s="54"/>
      <c r="BZ26" s="9"/>
      <c r="CA26" s="8"/>
      <c r="CB26" s="10"/>
      <c r="CC26" s="8"/>
      <c r="CD26" s="54"/>
      <c r="CE26" s="55"/>
      <c r="CF26" s="54"/>
      <c r="CG26" s="9"/>
      <c r="CH26" s="8"/>
      <c r="CI26" s="10"/>
      <c r="CJ26" s="8"/>
      <c r="CK26" s="54"/>
      <c r="CL26" s="55"/>
      <c r="CM26" s="54"/>
      <c r="CN26" s="9"/>
      <c r="CO26" s="8"/>
      <c r="CP26" s="10"/>
      <c r="CQ26" s="8"/>
      <c r="CR26" s="54"/>
      <c r="CS26" s="55"/>
      <c r="CT26" s="54"/>
      <c r="CU26" s="9"/>
      <c r="CV26" s="8"/>
      <c r="CW26" s="10"/>
      <c r="CX26" s="8"/>
      <c r="CY26" s="54"/>
      <c r="CZ26" s="55"/>
      <c r="DA26" s="54"/>
    </row>
    <row r="27" spans="1:105" ht="13.5" thickBot="1">
      <c r="A27" s="8"/>
      <c r="B27" s="12"/>
      <c r="C27" s="12"/>
      <c r="D27" s="77">
        <f>SUM(D21:D25)</f>
        <v>26409549.290000007</v>
      </c>
      <c r="E27" s="12"/>
      <c r="F27" s="22">
        <f>SUM(F21:F25)</f>
        <v>3551</v>
      </c>
      <c r="G27" s="23"/>
      <c r="H27" s="23"/>
      <c r="I27" s="21">
        <f>SUM(I21:I25)</f>
        <v>24331397.630000003</v>
      </c>
      <c r="J27" s="12"/>
      <c r="K27" s="22">
        <f>SUM(K21:K25)</f>
        <v>3444</v>
      </c>
      <c r="L27" s="23"/>
      <c r="M27" s="53"/>
      <c r="N27" s="31"/>
      <c r="O27" s="57"/>
      <c r="P27" s="21">
        <v>37947496.32999993</v>
      </c>
      <c r="Q27" s="12"/>
      <c r="R27" s="22">
        <v>5626</v>
      </c>
      <c r="S27" s="23"/>
      <c r="T27" s="53"/>
      <c r="U27" s="31"/>
      <c r="V27" s="57"/>
      <c r="W27" s="21">
        <f>SUM(W21:W26)</f>
        <v>46643003.69000006</v>
      </c>
      <c r="X27" s="12"/>
      <c r="Y27" s="22">
        <f>SUM(Y21:Y26)</f>
        <v>7066</v>
      </c>
      <c r="Z27" s="23"/>
      <c r="AA27" s="53"/>
      <c r="AB27" s="31"/>
      <c r="AC27" s="57"/>
      <c r="AD27" s="21">
        <f>SUM(AD21:AD26)</f>
        <v>50091649.040000066</v>
      </c>
      <c r="AE27" s="12"/>
      <c r="AF27" s="22">
        <f>SUM(AF21:AF26)</f>
        <v>7930</v>
      </c>
      <c r="AG27" s="23"/>
      <c r="AH27" s="53"/>
      <c r="AI27" s="31"/>
      <c r="AJ27" s="57"/>
      <c r="AK27" s="21">
        <f>SUM(AK21:AK26)</f>
        <v>56058896.36999996</v>
      </c>
      <c r="AL27" s="12"/>
      <c r="AM27" s="22">
        <f>SUM(AM21:AM26)</f>
        <v>9036</v>
      </c>
      <c r="AN27" s="23"/>
      <c r="AO27" s="53"/>
      <c r="AP27" s="31"/>
      <c r="AQ27" s="57"/>
      <c r="AR27" s="21">
        <f>SUM(AR21:AR26)</f>
        <v>67578330.16999993</v>
      </c>
      <c r="AS27" s="12"/>
      <c r="AT27" s="22">
        <f>SUM(AT21:AT26)</f>
        <v>11060</v>
      </c>
      <c r="AU27" s="23"/>
      <c r="AV27" s="53"/>
      <c r="AW27" s="31"/>
      <c r="AX27" s="57"/>
      <c r="AY27" s="21">
        <f>SUM(AY21:AY26)</f>
        <v>72795789.37999994</v>
      </c>
      <c r="AZ27" s="12"/>
      <c r="BA27" s="22">
        <f>SUM(BA21:BA26)</f>
        <v>12158</v>
      </c>
      <c r="BB27" s="23"/>
      <c r="BC27" s="53"/>
      <c r="BD27" s="31"/>
      <c r="BE27" s="21">
        <f>SUM(BE21:BE26)</f>
        <v>64546191.60000001</v>
      </c>
      <c r="BF27" s="12"/>
      <c r="BG27" s="22">
        <f>SUM(BG21:BG26)</f>
        <v>11082</v>
      </c>
      <c r="BH27" s="23"/>
      <c r="BI27" s="53"/>
      <c r="BJ27" s="31"/>
      <c r="BK27" s="57"/>
      <c r="BL27" s="21">
        <f>SUM(BL21:BL26)</f>
        <v>55923813.82</v>
      </c>
      <c r="BM27" s="12"/>
      <c r="BN27" s="22">
        <f>SUM(BN21:BN26)</f>
        <v>10194</v>
      </c>
      <c r="BO27" s="23"/>
      <c r="BP27" s="53"/>
      <c r="BQ27" s="31"/>
      <c r="BR27" s="57"/>
      <c r="BS27" s="21">
        <f>SUM(BS21:BS26)</f>
        <v>53697277.110000014</v>
      </c>
      <c r="BT27" s="12"/>
      <c r="BU27" s="22">
        <f>SUM(BU21:BU26)</f>
        <v>10082</v>
      </c>
      <c r="BV27" s="23"/>
      <c r="BW27" s="53"/>
      <c r="BX27" s="31"/>
      <c r="BY27" s="57"/>
      <c r="BZ27" s="21">
        <f>SUM(BZ21:BZ26)</f>
        <v>52984697.729999945</v>
      </c>
      <c r="CA27" s="12"/>
      <c r="CB27" s="22">
        <f>SUM(CB21:CB26)</f>
        <v>9880</v>
      </c>
      <c r="CC27" s="23"/>
      <c r="CD27" s="53"/>
      <c r="CE27" s="31"/>
      <c r="CF27" s="57"/>
      <c r="CG27" s="21">
        <f>SUM(CG21:CG26)</f>
        <v>51490153.42999999</v>
      </c>
      <c r="CH27" s="12"/>
      <c r="CI27" s="22">
        <f>SUM(CI21:CI26)</f>
        <v>9411</v>
      </c>
      <c r="CJ27" s="23"/>
      <c r="CK27" s="53"/>
      <c r="CL27" s="31"/>
      <c r="CM27" s="57"/>
      <c r="CN27" s="21">
        <f>SUM(CN21:CN26)</f>
        <v>45645265.17000001</v>
      </c>
      <c r="CO27" s="12"/>
      <c r="CP27" s="22">
        <f>SUM(CP21:CP26)</f>
        <v>8467</v>
      </c>
      <c r="CQ27" s="23"/>
      <c r="CR27" s="53"/>
      <c r="CS27" s="31"/>
      <c r="CT27" s="57"/>
      <c r="CU27" s="21">
        <f>SUM(CU21:CU26)</f>
        <v>71625476.25000009</v>
      </c>
      <c r="CV27" s="12"/>
      <c r="CW27" s="22">
        <f>SUM(CW21:CW26)</f>
        <v>13459</v>
      </c>
      <c r="CX27" s="23"/>
      <c r="CY27" s="53"/>
      <c r="CZ27" s="31"/>
      <c r="DA27" s="57"/>
    </row>
    <row r="28" spans="1:105" ht="13.5" thickTop="1">
      <c r="A28" s="8"/>
      <c r="B28" s="8"/>
      <c r="C28" s="8"/>
      <c r="D28" s="9"/>
      <c r="E28" s="8"/>
      <c r="F28" s="10"/>
      <c r="G28" s="8"/>
      <c r="H28" s="8"/>
      <c r="I28" s="8"/>
      <c r="J28" s="8"/>
      <c r="K28" s="8"/>
      <c r="L28" s="9"/>
      <c r="M28" s="54"/>
      <c r="N28" s="55"/>
      <c r="O28" s="54"/>
      <c r="P28" s="8"/>
      <c r="Q28" s="8"/>
      <c r="R28" s="8"/>
      <c r="S28" s="9"/>
      <c r="T28" s="54"/>
      <c r="U28" s="55"/>
      <c r="V28" s="54"/>
      <c r="W28" s="8"/>
      <c r="X28" s="8"/>
      <c r="Y28" s="8"/>
      <c r="Z28" s="9"/>
      <c r="AA28" s="54"/>
      <c r="AB28" s="55"/>
      <c r="AC28" s="54"/>
      <c r="AD28" s="8"/>
      <c r="AE28" s="8"/>
      <c r="AF28" s="8"/>
      <c r="AG28" s="9"/>
      <c r="AH28" s="54"/>
      <c r="AI28" s="55"/>
      <c r="AJ28" s="54"/>
      <c r="AK28" s="8"/>
      <c r="AL28" s="8"/>
      <c r="AM28" s="8"/>
      <c r="AN28" s="9"/>
      <c r="AO28" s="54"/>
      <c r="AP28" s="55"/>
      <c r="AQ28" s="54"/>
      <c r="AR28" s="8"/>
      <c r="AS28" s="8"/>
      <c r="AT28" s="8"/>
      <c r="AU28" s="9"/>
      <c r="AV28" s="54"/>
      <c r="AW28" s="55"/>
      <c r="AX28" s="54"/>
      <c r="AY28" s="8"/>
      <c r="AZ28" s="8"/>
      <c r="BA28" s="8"/>
      <c r="BB28" s="9"/>
      <c r="BC28" s="54"/>
      <c r="BD28" s="55"/>
      <c r="BE28" s="8"/>
      <c r="BF28" s="8"/>
      <c r="BG28" s="8"/>
      <c r="BH28" s="9"/>
      <c r="BI28" s="54"/>
      <c r="BJ28" s="55"/>
      <c r="BK28" s="54"/>
      <c r="BL28" s="8"/>
      <c r="BM28" s="8"/>
      <c r="BN28" s="8"/>
      <c r="BO28" s="9"/>
      <c r="BP28" s="54"/>
      <c r="BQ28" s="55"/>
      <c r="BR28" s="54"/>
      <c r="BS28" s="8"/>
      <c r="BT28" s="8"/>
      <c r="BU28" s="8"/>
      <c r="BV28" s="9"/>
      <c r="BW28" s="54"/>
      <c r="BX28" s="55"/>
      <c r="BY28" s="54"/>
      <c r="BZ28" s="8"/>
      <c r="CA28" s="8"/>
      <c r="CB28" s="8"/>
      <c r="CC28" s="9"/>
      <c r="CD28" s="54"/>
      <c r="CE28" s="55"/>
      <c r="CF28" s="54"/>
      <c r="CG28" s="8"/>
      <c r="CH28" s="8"/>
      <c r="CI28" s="8"/>
      <c r="CJ28" s="9"/>
      <c r="CK28" s="54"/>
      <c r="CL28" s="55"/>
      <c r="CM28" s="54"/>
      <c r="CN28" s="8"/>
      <c r="CO28" s="8"/>
      <c r="CP28" s="8"/>
      <c r="CQ28" s="9"/>
      <c r="CR28" s="54"/>
      <c r="CS28" s="55"/>
      <c r="CT28" s="54"/>
      <c r="CU28" s="8"/>
      <c r="CV28" s="8"/>
      <c r="CW28" s="8"/>
      <c r="CX28" s="9"/>
      <c r="CY28" s="54"/>
      <c r="CZ28" s="55"/>
      <c r="DA28" s="54"/>
    </row>
    <row r="29" spans="1:105" ht="12.75">
      <c r="A29" s="8"/>
      <c r="B29" s="8"/>
      <c r="C29" s="8"/>
      <c r="D29" s="9"/>
      <c r="E29" s="8"/>
      <c r="F29" s="10"/>
      <c r="G29" s="8"/>
      <c r="H29" s="8"/>
      <c r="I29" s="8"/>
      <c r="J29" s="8"/>
      <c r="K29" s="8"/>
      <c r="L29" s="9"/>
      <c r="M29" s="54"/>
      <c r="N29" s="55"/>
      <c r="O29" s="54"/>
      <c r="P29" s="8"/>
      <c r="Q29" s="8"/>
      <c r="R29" s="8"/>
      <c r="S29" s="9"/>
      <c r="T29" s="54"/>
      <c r="U29" s="55"/>
      <c r="V29" s="54"/>
      <c r="W29" s="8"/>
      <c r="X29" s="8"/>
      <c r="Y29" s="8"/>
      <c r="Z29" s="9"/>
      <c r="AA29" s="54"/>
      <c r="AB29" s="55"/>
      <c r="AC29" s="54"/>
      <c r="AD29" s="8"/>
      <c r="AE29" s="8"/>
      <c r="AF29" s="8"/>
      <c r="AG29" s="9"/>
      <c r="AH29" s="54"/>
      <c r="AI29" s="55"/>
      <c r="AJ29" s="54"/>
      <c r="AK29" s="8"/>
      <c r="AL29" s="8"/>
      <c r="AM29" s="8"/>
      <c r="AN29" s="9"/>
      <c r="AO29" s="54"/>
      <c r="AP29" s="55"/>
      <c r="AQ29" s="54"/>
      <c r="AR29" s="8"/>
      <c r="AS29" s="8"/>
      <c r="AT29" s="8"/>
      <c r="AU29" s="9"/>
      <c r="AV29" s="54"/>
      <c r="AW29" s="55"/>
      <c r="AX29" s="54"/>
      <c r="AY29" s="8"/>
      <c r="AZ29" s="8"/>
      <c r="BA29" s="8"/>
      <c r="BB29" s="9"/>
      <c r="BC29" s="54"/>
      <c r="BD29" s="55"/>
      <c r="BE29" s="8"/>
      <c r="BF29" s="8"/>
      <c r="BG29" s="8"/>
      <c r="BH29" s="9"/>
      <c r="BI29" s="54"/>
      <c r="BJ29" s="55"/>
      <c r="BK29" s="54"/>
      <c r="BL29" s="8"/>
      <c r="BM29" s="8"/>
      <c r="BN29" s="8"/>
      <c r="BO29" s="9"/>
      <c r="BP29" s="54"/>
      <c r="BQ29" s="55"/>
      <c r="BR29" s="54"/>
      <c r="BS29" s="8"/>
      <c r="BT29" s="8"/>
      <c r="BU29" s="8"/>
      <c r="BV29" s="9"/>
      <c r="BW29" s="54"/>
      <c r="BX29" s="55"/>
      <c r="BY29" s="54"/>
      <c r="BZ29" s="8"/>
      <c r="CA29" s="8"/>
      <c r="CB29" s="8"/>
      <c r="CC29" s="9"/>
      <c r="CD29" s="54"/>
      <c r="CE29" s="55"/>
      <c r="CF29" s="54"/>
      <c r="CG29" s="8"/>
      <c r="CH29" s="8"/>
      <c r="CI29" s="8"/>
      <c r="CJ29" s="9"/>
      <c r="CK29" s="54"/>
      <c r="CL29" s="55"/>
      <c r="CM29" s="54"/>
      <c r="CN29" s="8"/>
      <c r="CO29" s="8"/>
      <c r="CP29" s="8"/>
      <c r="CQ29" s="9"/>
      <c r="CR29" s="54"/>
      <c r="CS29" s="55"/>
      <c r="CT29" s="54"/>
      <c r="CU29" s="8"/>
      <c r="CV29" s="8"/>
      <c r="CW29" s="8"/>
      <c r="CX29" s="9"/>
      <c r="CY29" s="54"/>
      <c r="CZ29" s="55"/>
      <c r="DA29" s="54"/>
    </row>
    <row r="30" spans="1:105" ht="12.75">
      <c r="A30" s="8"/>
      <c r="B30" s="8"/>
      <c r="C30" s="8"/>
      <c r="D30" s="9"/>
      <c r="E30" s="8"/>
      <c r="F30" s="10"/>
      <c r="G30" s="8"/>
      <c r="H30" s="8"/>
      <c r="I30" s="8"/>
      <c r="J30" s="8"/>
      <c r="K30" s="8"/>
      <c r="L30" s="9"/>
      <c r="M30" s="8"/>
      <c r="N30" s="10"/>
      <c r="O30" s="8"/>
      <c r="P30" s="8"/>
      <c r="Q30" s="8"/>
      <c r="R30" s="8"/>
      <c r="S30" s="9"/>
      <c r="T30" s="8"/>
      <c r="U30" s="10"/>
      <c r="V30" s="8"/>
      <c r="W30" s="8"/>
      <c r="X30" s="8"/>
      <c r="Y30" s="8"/>
      <c r="Z30" s="9"/>
      <c r="AA30" s="8"/>
      <c r="AB30" s="10"/>
      <c r="AC30" s="8"/>
      <c r="AD30" s="8"/>
      <c r="AE30" s="8"/>
      <c r="AF30" s="8"/>
      <c r="AG30" s="9"/>
      <c r="AH30" s="8"/>
      <c r="AI30" s="10"/>
      <c r="AJ30" s="8"/>
      <c r="AK30" s="8"/>
      <c r="AL30" s="8"/>
      <c r="AM30" s="8"/>
      <c r="AN30" s="9"/>
      <c r="AO30" s="8"/>
      <c r="AP30" s="10"/>
      <c r="AQ30" s="8"/>
      <c r="AR30" s="8"/>
      <c r="AS30" s="8"/>
      <c r="AT30" s="8"/>
      <c r="AU30" s="9"/>
      <c r="AV30" s="8"/>
      <c r="AW30" s="10"/>
      <c r="AX30" s="8"/>
      <c r="AY30" s="8"/>
      <c r="AZ30" s="8"/>
      <c r="BA30" s="8"/>
      <c r="BB30" s="9"/>
      <c r="BC30" s="8"/>
      <c r="BD30" s="10"/>
      <c r="BE30" s="8"/>
      <c r="BF30" s="8"/>
      <c r="BG30" s="8"/>
      <c r="BH30" s="9"/>
      <c r="BI30" s="8"/>
      <c r="BJ30" s="10"/>
      <c r="BK30" s="8"/>
      <c r="BL30" s="8"/>
      <c r="BM30" s="8"/>
      <c r="BN30" s="8"/>
      <c r="BO30" s="9"/>
      <c r="BP30" s="8"/>
      <c r="BQ30" s="10"/>
      <c r="BR30" s="8"/>
      <c r="BS30" s="8"/>
      <c r="BT30" s="8"/>
      <c r="BU30" s="8"/>
      <c r="BV30" s="9"/>
      <c r="BW30" s="8"/>
      <c r="BX30" s="10"/>
      <c r="BY30" s="8"/>
      <c r="BZ30" s="8"/>
      <c r="CA30" s="8"/>
      <c r="CB30" s="8"/>
      <c r="CC30" s="9"/>
      <c r="CD30" s="8"/>
      <c r="CE30" s="10"/>
      <c r="CF30" s="8"/>
      <c r="CG30" s="8"/>
      <c r="CH30" s="8"/>
      <c r="CI30" s="8"/>
      <c r="CJ30" s="9"/>
      <c r="CK30" s="8"/>
      <c r="CL30" s="10"/>
      <c r="CM30" s="8"/>
      <c r="CN30" s="8"/>
      <c r="CO30" s="8"/>
      <c r="CP30" s="8"/>
      <c r="CQ30" s="9"/>
      <c r="CR30" s="8"/>
      <c r="CS30" s="10"/>
      <c r="CT30" s="8"/>
      <c r="CU30" s="8"/>
      <c r="CV30" s="8"/>
      <c r="CW30" s="8"/>
      <c r="CX30" s="9"/>
      <c r="CY30" s="8"/>
      <c r="CZ30" s="10"/>
      <c r="DA30" s="8"/>
    </row>
    <row r="31" spans="1:105" ht="12.75">
      <c r="A31" s="8"/>
      <c r="B31" s="8"/>
      <c r="C31" s="8"/>
      <c r="D31" s="9"/>
      <c r="E31" s="8"/>
      <c r="F31" s="10"/>
      <c r="G31" s="8"/>
      <c r="H31" s="8"/>
      <c r="I31" s="8"/>
      <c r="J31" s="8"/>
      <c r="K31" s="8"/>
      <c r="L31" s="9"/>
      <c r="M31" s="8"/>
      <c r="N31" s="10"/>
      <c r="O31" s="8"/>
      <c r="P31" s="8"/>
      <c r="Q31" s="8"/>
      <c r="R31" s="8"/>
      <c r="S31" s="9"/>
      <c r="T31" s="8"/>
      <c r="U31" s="10"/>
      <c r="V31" s="8"/>
      <c r="W31" s="8"/>
      <c r="X31" s="8"/>
      <c r="Y31" s="8"/>
      <c r="Z31" s="9"/>
      <c r="AA31" s="8"/>
      <c r="AB31" s="10"/>
      <c r="AC31" s="8"/>
      <c r="AD31" s="8"/>
      <c r="AE31" s="8"/>
      <c r="AF31" s="8"/>
      <c r="AG31" s="9"/>
      <c r="AH31" s="8"/>
      <c r="AI31" s="10"/>
      <c r="AJ31" s="8"/>
      <c r="AK31" s="8"/>
      <c r="AL31" s="8"/>
      <c r="AM31" s="8"/>
      <c r="AN31" s="9"/>
      <c r="AO31" s="8"/>
      <c r="AP31" s="10"/>
      <c r="AQ31" s="8"/>
      <c r="AR31" s="8"/>
      <c r="AS31" s="8"/>
      <c r="AT31" s="8"/>
      <c r="AU31" s="9"/>
      <c r="AV31" s="8"/>
      <c r="AW31" s="10"/>
      <c r="AX31" s="8"/>
      <c r="AY31" s="8"/>
      <c r="AZ31" s="8"/>
      <c r="BA31" s="8"/>
      <c r="BB31" s="9"/>
      <c r="BC31" s="8"/>
      <c r="BD31" s="10"/>
      <c r="BE31" s="8"/>
      <c r="BF31" s="8"/>
      <c r="BG31" s="8"/>
      <c r="BH31" s="9"/>
      <c r="BI31" s="8"/>
      <c r="BJ31" s="10"/>
      <c r="BK31" s="8"/>
      <c r="BL31" s="8"/>
      <c r="BM31" s="8"/>
      <c r="BN31" s="8"/>
      <c r="BO31" s="9"/>
      <c r="BP31" s="8"/>
      <c r="BQ31" s="10"/>
      <c r="BR31" s="8"/>
      <c r="BS31" s="8"/>
      <c r="BT31" s="8"/>
      <c r="BU31" s="8"/>
      <c r="BV31" s="9"/>
      <c r="BW31" s="8"/>
      <c r="BX31" s="10"/>
      <c r="BY31" s="8"/>
      <c r="BZ31" s="8"/>
      <c r="CA31" s="8"/>
      <c r="CB31" s="8"/>
      <c r="CC31" s="9"/>
      <c r="CD31" s="8"/>
      <c r="CE31" s="10"/>
      <c r="CF31" s="8"/>
      <c r="CG31" s="8"/>
      <c r="CH31" s="8"/>
      <c r="CI31" s="8"/>
      <c r="CJ31" s="9"/>
      <c r="CK31" s="8"/>
      <c r="CL31" s="10"/>
      <c r="CM31" s="8"/>
      <c r="CN31" s="8"/>
      <c r="CO31" s="8"/>
      <c r="CP31" s="8"/>
      <c r="CQ31" s="9"/>
      <c r="CR31" s="8"/>
      <c r="CS31" s="10"/>
      <c r="CT31" s="8"/>
      <c r="CU31" s="8"/>
      <c r="CV31" s="8"/>
      <c r="CW31" s="8"/>
      <c r="CX31" s="9"/>
      <c r="CY31" s="8"/>
      <c r="CZ31" s="10"/>
      <c r="DA31" s="8"/>
    </row>
    <row r="32" spans="1:105" ht="12.75">
      <c r="A32" s="19" t="s">
        <v>111</v>
      </c>
      <c r="B32" s="8"/>
      <c r="C32" s="8"/>
      <c r="D32" s="9"/>
      <c r="E32" s="8"/>
      <c r="F32" s="10"/>
      <c r="G32" s="8"/>
      <c r="H32" s="8"/>
      <c r="I32" s="19" t="s">
        <v>111</v>
      </c>
      <c r="J32" s="8"/>
      <c r="K32" s="8"/>
      <c r="L32" s="9"/>
      <c r="M32" s="8"/>
      <c r="N32" s="10"/>
      <c r="O32" s="8"/>
      <c r="P32" s="19" t="s">
        <v>111</v>
      </c>
      <c r="Q32" s="8"/>
      <c r="R32" s="8"/>
      <c r="S32" s="9"/>
      <c r="T32" s="8"/>
      <c r="U32" s="10"/>
      <c r="V32" s="8"/>
      <c r="W32" s="19" t="s">
        <v>111</v>
      </c>
      <c r="X32" s="8"/>
      <c r="Y32" s="8"/>
      <c r="Z32" s="9"/>
      <c r="AA32" s="8"/>
      <c r="AB32" s="10"/>
      <c r="AC32" s="8"/>
      <c r="AD32" s="19" t="s">
        <v>111</v>
      </c>
      <c r="AE32" s="8"/>
      <c r="AF32" s="8"/>
      <c r="AG32" s="9"/>
      <c r="AH32" s="8"/>
      <c r="AI32" s="10"/>
      <c r="AJ32" s="8"/>
      <c r="AK32" s="19" t="s">
        <v>111</v>
      </c>
      <c r="AL32" s="8"/>
      <c r="AM32" s="8"/>
      <c r="AN32" s="9"/>
      <c r="AO32" s="8"/>
      <c r="AP32" s="10"/>
      <c r="AQ32" s="8"/>
      <c r="AR32" s="19" t="s">
        <v>111</v>
      </c>
      <c r="AS32" s="8"/>
      <c r="AT32" s="8"/>
      <c r="AU32" s="9"/>
      <c r="AV32" s="8"/>
      <c r="AW32" s="10"/>
      <c r="AX32" s="8"/>
      <c r="AY32" s="19" t="s">
        <v>111</v>
      </c>
      <c r="AZ32" s="8"/>
      <c r="BA32" s="8"/>
      <c r="BB32" s="9"/>
      <c r="BC32" s="8"/>
      <c r="BD32" s="10"/>
      <c r="BE32" s="19" t="s">
        <v>111</v>
      </c>
      <c r="BF32" s="8"/>
      <c r="BG32" s="8"/>
      <c r="BH32" s="9"/>
      <c r="BI32" s="8"/>
      <c r="BJ32" s="10"/>
      <c r="BK32" s="8"/>
      <c r="BL32" s="19" t="s">
        <v>111</v>
      </c>
      <c r="BM32" s="8"/>
      <c r="BN32" s="8"/>
      <c r="BO32" s="9"/>
      <c r="BP32" s="8"/>
      <c r="BQ32" s="10"/>
      <c r="BR32" s="8"/>
      <c r="BS32" s="19" t="s">
        <v>111</v>
      </c>
      <c r="BT32" s="8"/>
      <c r="BU32" s="8"/>
      <c r="BV32" s="9"/>
      <c r="BW32" s="8"/>
      <c r="BX32" s="10"/>
      <c r="BY32" s="8"/>
      <c r="BZ32" s="19" t="s">
        <v>111</v>
      </c>
      <c r="CA32" s="8"/>
      <c r="CB32" s="8"/>
      <c r="CC32" s="9"/>
      <c r="CD32" s="8"/>
      <c r="CE32" s="10"/>
      <c r="CF32" s="8"/>
      <c r="CG32" s="19" t="s">
        <v>111</v>
      </c>
      <c r="CH32" s="8"/>
      <c r="CI32" s="8"/>
      <c r="CJ32" s="9"/>
      <c r="CK32" s="8"/>
      <c r="CL32" s="10"/>
      <c r="CM32" s="8"/>
      <c r="CN32" s="19" t="s">
        <v>111</v>
      </c>
      <c r="CO32" s="8"/>
      <c r="CP32" s="8"/>
      <c r="CQ32" s="9"/>
      <c r="CR32" s="8"/>
      <c r="CS32" s="10"/>
      <c r="CT32" s="8"/>
      <c r="CU32" s="19" t="s">
        <v>111</v>
      </c>
      <c r="CV32" s="8"/>
      <c r="CW32" s="8"/>
      <c r="CX32" s="9"/>
      <c r="CY32" s="8"/>
      <c r="CZ32" s="10"/>
      <c r="DA32" s="8"/>
    </row>
    <row r="33" spans="1:105" ht="12.75">
      <c r="A33" s="19"/>
      <c r="B33" s="8"/>
      <c r="C33" s="8"/>
      <c r="D33" s="9"/>
      <c r="E33" s="8"/>
      <c r="F33" s="10"/>
      <c r="G33" s="8"/>
      <c r="H33" s="8"/>
      <c r="I33" s="19"/>
      <c r="J33" s="8"/>
      <c r="K33" s="8"/>
      <c r="L33" s="9"/>
      <c r="M33" s="8"/>
      <c r="N33" s="10"/>
      <c r="O33" s="8"/>
      <c r="P33" s="19"/>
      <c r="Q33" s="8"/>
      <c r="R33" s="8"/>
      <c r="S33" s="9"/>
      <c r="T33" s="8"/>
      <c r="U33" s="10"/>
      <c r="V33" s="8"/>
      <c r="W33" s="19"/>
      <c r="X33" s="8"/>
      <c r="Y33" s="8"/>
      <c r="Z33" s="9"/>
      <c r="AA33" s="8"/>
      <c r="AB33" s="10"/>
      <c r="AC33" s="8"/>
      <c r="AD33" s="19"/>
      <c r="AE33" s="8"/>
      <c r="AF33" s="8"/>
      <c r="AG33" s="9"/>
      <c r="AH33" s="8"/>
      <c r="AI33" s="10"/>
      <c r="AJ33" s="8"/>
      <c r="AK33" s="19"/>
      <c r="AL33" s="8"/>
      <c r="AM33" s="8"/>
      <c r="AN33" s="9"/>
      <c r="AO33" s="8"/>
      <c r="AP33" s="10"/>
      <c r="AQ33" s="8"/>
      <c r="AR33" s="19"/>
      <c r="AS33" s="8"/>
      <c r="AT33" s="8"/>
      <c r="AU33" s="9"/>
      <c r="AV33" s="8"/>
      <c r="AW33" s="10"/>
      <c r="AX33" s="8"/>
      <c r="AY33" s="19"/>
      <c r="AZ33" s="8"/>
      <c r="BA33" s="8"/>
      <c r="BB33" s="9"/>
      <c r="BC33" s="8"/>
      <c r="BD33" s="10"/>
      <c r="BE33" s="19"/>
      <c r="BF33" s="8"/>
      <c r="BG33" s="8"/>
      <c r="BH33" s="9"/>
      <c r="BI33" s="8"/>
      <c r="BJ33" s="10"/>
      <c r="BK33" s="8"/>
      <c r="BL33" s="19"/>
      <c r="BM33" s="8"/>
      <c r="BN33" s="8"/>
      <c r="BO33" s="9"/>
      <c r="BP33" s="8"/>
      <c r="BQ33" s="10"/>
      <c r="BR33" s="8"/>
      <c r="BS33" s="19"/>
      <c r="BT33" s="8"/>
      <c r="BU33" s="8"/>
      <c r="BV33" s="9"/>
      <c r="BW33" s="8"/>
      <c r="BX33" s="10"/>
      <c r="BY33" s="8"/>
      <c r="BZ33" s="19"/>
      <c r="CA33" s="8"/>
      <c r="CB33" s="8"/>
      <c r="CC33" s="9"/>
      <c r="CD33" s="8"/>
      <c r="CE33" s="10"/>
      <c r="CF33" s="8"/>
      <c r="CG33" s="19"/>
      <c r="CH33" s="8"/>
      <c r="CI33" s="8"/>
      <c r="CJ33" s="9"/>
      <c r="CK33" s="8"/>
      <c r="CL33" s="10"/>
      <c r="CM33" s="8"/>
      <c r="CN33" s="19"/>
      <c r="CO33" s="8"/>
      <c r="CP33" s="8"/>
      <c r="CQ33" s="9"/>
      <c r="CR33" s="8"/>
      <c r="CS33" s="10"/>
      <c r="CT33" s="8"/>
      <c r="CU33" s="19"/>
      <c r="CV33" s="8"/>
      <c r="CW33" s="8"/>
      <c r="CX33" s="9"/>
      <c r="CY33" s="8"/>
      <c r="CZ33" s="10"/>
      <c r="DA33" s="8"/>
    </row>
    <row r="34" spans="1:105" s="29" customFormat="1" ht="12.75">
      <c r="A34" s="25"/>
      <c r="B34" s="26"/>
      <c r="C34" s="26"/>
      <c r="D34" s="27" t="s">
        <v>99</v>
      </c>
      <c r="E34" s="26" t="s">
        <v>100</v>
      </c>
      <c r="F34" s="28" t="s">
        <v>101</v>
      </c>
      <c r="G34" s="26" t="s">
        <v>100</v>
      </c>
      <c r="H34" s="26"/>
      <c r="I34" s="27" t="s">
        <v>99</v>
      </c>
      <c r="J34" s="26" t="s">
        <v>100</v>
      </c>
      <c r="K34" s="28" t="s">
        <v>101</v>
      </c>
      <c r="L34" s="26" t="s">
        <v>100</v>
      </c>
      <c r="M34" s="64"/>
      <c r="N34" s="65"/>
      <c r="O34" s="64"/>
      <c r="P34" s="27" t="s">
        <v>99</v>
      </c>
      <c r="Q34" s="26" t="s">
        <v>100</v>
      </c>
      <c r="R34" s="28" t="s">
        <v>101</v>
      </c>
      <c r="S34" s="26" t="s">
        <v>100</v>
      </c>
      <c r="T34" s="64"/>
      <c r="U34" s="65"/>
      <c r="V34" s="64"/>
      <c r="W34" s="27" t="s">
        <v>99</v>
      </c>
      <c r="X34" s="26" t="s">
        <v>100</v>
      </c>
      <c r="Y34" s="28" t="s">
        <v>101</v>
      </c>
      <c r="Z34" s="26" t="s">
        <v>100</v>
      </c>
      <c r="AA34" s="64"/>
      <c r="AB34" s="65"/>
      <c r="AC34" s="64"/>
      <c r="AD34" s="27" t="s">
        <v>99</v>
      </c>
      <c r="AE34" s="26" t="s">
        <v>100</v>
      </c>
      <c r="AF34" s="28" t="s">
        <v>101</v>
      </c>
      <c r="AG34" s="26" t="s">
        <v>100</v>
      </c>
      <c r="AH34" s="64"/>
      <c r="AI34" s="65"/>
      <c r="AJ34" s="64"/>
      <c r="AK34" s="27" t="s">
        <v>99</v>
      </c>
      <c r="AL34" s="26" t="s">
        <v>100</v>
      </c>
      <c r="AM34" s="28" t="s">
        <v>101</v>
      </c>
      <c r="AN34" s="26" t="s">
        <v>100</v>
      </c>
      <c r="AO34" s="64"/>
      <c r="AP34" s="65"/>
      <c r="AQ34" s="64"/>
      <c r="AR34" s="27" t="s">
        <v>99</v>
      </c>
      <c r="AS34" s="26" t="s">
        <v>100</v>
      </c>
      <c r="AT34" s="28" t="s">
        <v>101</v>
      </c>
      <c r="AU34" s="26" t="s">
        <v>100</v>
      </c>
      <c r="AV34" s="64"/>
      <c r="AW34" s="65"/>
      <c r="AX34" s="64"/>
      <c r="AY34" s="89" t="s">
        <v>99</v>
      </c>
      <c r="AZ34" s="44" t="s">
        <v>100</v>
      </c>
      <c r="BA34" s="88" t="s">
        <v>101</v>
      </c>
      <c r="BB34" s="44" t="s">
        <v>100</v>
      </c>
      <c r="BC34" s="64"/>
      <c r="BD34" s="65"/>
      <c r="BE34" s="89" t="s">
        <v>99</v>
      </c>
      <c r="BF34" s="44" t="s">
        <v>100</v>
      </c>
      <c r="BG34" s="88" t="s">
        <v>101</v>
      </c>
      <c r="BH34" s="44" t="s">
        <v>100</v>
      </c>
      <c r="BI34" s="64"/>
      <c r="BJ34" s="65"/>
      <c r="BK34" s="64"/>
      <c r="BL34" s="89" t="s">
        <v>99</v>
      </c>
      <c r="BM34" s="44" t="s">
        <v>100</v>
      </c>
      <c r="BN34" s="88" t="s">
        <v>101</v>
      </c>
      <c r="BO34" s="44" t="s">
        <v>100</v>
      </c>
      <c r="BP34" s="64"/>
      <c r="BQ34" s="65"/>
      <c r="BR34" s="64"/>
      <c r="BS34" s="89" t="s">
        <v>99</v>
      </c>
      <c r="BT34" s="44" t="s">
        <v>100</v>
      </c>
      <c r="BU34" s="88" t="s">
        <v>101</v>
      </c>
      <c r="BV34" s="44" t="s">
        <v>100</v>
      </c>
      <c r="BW34" s="64"/>
      <c r="BX34" s="65"/>
      <c r="BY34" s="64"/>
      <c r="BZ34" s="89" t="s">
        <v>99</v>
      </c>
      <c r="CA34" s="44" t="s">
        <v>100</v>
      </c>
      <c r="CB34" s="88" t="s">
        <v>101</v>
      </c>
      <c r="CC34" s="44" t="s">
        <v>100</v>
      </c>
      <c r="CD34" s="64"/>
      <c r="CE34" s="65"/>
      <c r="CF34" s="64"/>
      <c r="CG34" s="89" t="s">
        <v>99</v>
      </c>
      <c r="CH34" s="44" t="s">
        <v>100</v>
      </c>
      <c r="CI34" s="88" t="s">
        <v>101</v>
      </c>
      <c r="CJ34" s="44" t="s">
        <v>100</v>
      </c>
      <c r="CK34" s="64"/>
      <c r="CL34" s="65"/>
      <c r="CM34" s="64"/>
      <c r="CN34" s="89" t="s">
        <v>99</v>
      </c>
      <c r="CO34" s="44" t="s">
        <v>100</v>
      </c>
      <c r="CP34" s="88" t="s">
        <v>101</v>
      </c>
      <c r="CQ34" s="44" t="s">
        <v>100</v>
      </c>
      <c r="CR34" s="64"/>
      <c r="CS34" s="65"/>
      <c r="CT34" s="64"/>
      <c r="CU34" s="89" t="s">
        <v>99</v>
      </c>
      <c r="CV34" s="44" t="s">
        <v>100</v>
      </c>
      <c r="CW34" s="88" t="s">
        <v>101</v>
      </c>
      <c r="CX34" s="44" t="s">
        <v>100</v>
      </c>
      <c r="CY34" s="64"/>
      <c r="CZ34" s="65"/>
      <c r="DA34" s="64"/>
    </row>
    <row r="35" spans="1:105" ht="12.75">
      <c r="A35" s="12"/>
      <c r="B35" s="8"/>
      <c r="C35" s="8"/>
      <c r="D35" s="9"/>
      <c r="E35" s="8"/>
      <c r="F35" s="10"/>
      <c r="G35" s="8"/>
      <c r="H35" s="8"/>
      <c r="I35" s="9"/>
      <c r="J35" s="8"/>
      <c r="K35" s="10"/>
      <c r="L35" s="8"/>
      <c r="M35" s="54"/>
      <c r="N35" s="55"/>
      <c r="O35" s="54"/>
      <c r="P35" s="9"/>
      <c r="Q35" s="8"/>
      <c r="R35" s="10"/>
      <c r="S35" s="8"/>
      <c r="T35" s="54"/>
      <c r="U35" s="55"/>
      <c r="V35" s="54"/>
      <c r="W35" s="9"/>
      <c r="X35" s="8"/>
      <c r="Y35" s="10"/>
      <c r="Z35" s="8"/>
      <c r="AA35" s="54"/>
      <c r="AB35" s="55"/>
      <c r="AC35" s="54"/>
      <c r="AD35" s="9"/>
      <c r="AE35" s="8"/>
      <c r="AF35" s="10"/>
      <c r="AG35" s="8"/>
      <c r="AH35" s="54"/>
      <c r="AI35" s="55"/>
      <c r="AJ35" s="54"/>
      <c r="AK35" s="9"/>
      <c r="AL35" s="8"/>
      <c r="AM35" s="10"/>
      <c r="AN35" s="8"/>
      <c r="AO35" s="54"/>
      <c r="AP35" s="55"/>
      <c r="AQ35" s="54"/>
      <c r="AR35" s="9"/>
      <c r="AS35" s="8"/>
      <c r="AT35" s="10"/>
      <c r="AU35" s="8"/>
      <c r="AV35" s="54"/>
      <c r="AW35" s="55"/>
      <c r="AX35" s="54"/>
      <c r="AY35" s="9"/>
      <c r="AZ35" s="8"/>
      <c r="BA35" s="10"/>
      <c r="BB35" s="8"/>
      <c r="BC35" s="54"/>
      <c r="BD35" s="55"/>
      <c r="BE35" s="9"/>
      <c r="BF35" s="8"/>
      <c r="BG35" s="10"/>
      <c r="BH35" s="8"/>
      <c r="BI35" s="54"/>
      <c r="BJ35" s="55"/>
      <c r="BK35" s="54"/>
      <c r="BL35" s="9"/>
      <c r="BM35" s="8"/>
      <c r="BN35" s="10"/>
      <c r="BO35" s="8"/>
      <c r="BP35" s="54"/>
      <c r="BQ35" s="55"/>
      <c r="BR35" s="54"/>
      <c r="BS35" s="9"/>
      <c r="BT35" s="8"/>
      <c r="BU35" s="10"/>
      <c r="BV35" s="8"/>
      <c r="BW35" s="54"/>
      <c r="BX35" s="55"/>
      <c r="BY35" s="54"/>
      <c r="BZ35" s="9"/>
      <c r="CA35" s="8"/>
      <c r="CB35" s="10"/>
      <c r="CC35" s="8"/>
      <c r="CD35" s="54"/>
      <c r="CE35" s="55"/>
      <c r="CF35" s="54"/>
      <c r="CG35" s="9"/>
      <c r="CH35" s="8"/>
      <c r="CI35" s="10"/>
      <c r="CJ35" s="8"/>
      <c r="CK35" s="54"/>
      <c r="CL35" s="55"/>
      <c r="CM35" s="54"/>
      <c r="CN35" s="9"/>
      <c r="CO35" s="8"/>
      <c r="CP35" s="10"/>
      <c r="CQ35" s="8"/>
      <c r="CR35" s="54"/>
      <c r="CS35" s="55"/>
      <c r="CT35" s="54"/>
      <c r="CU35" s="9"/>
      <c r="CV35" s="8"/>
      <c r="CW35" s="10"/>
      <c r="CX35" s="8"/>
      <c r="CY35" s="54"/>
      <c r="CZ35" s="55"/>
      <c r="DA35" s="54"/>
    </row>
    <row r="36" spans="1:105" ht="12.75">
      <c r="A36" s="8" t="s">
        <v>31</v>
      </c>
      <c r="B36" s="8"/>
      <c r="C36" s="8"/>
      <c r="D36" s="9">
        <v>3578327.14</v>
      </c>
      <c r="E36" s="14">
        <f>+D36/D50</f>
        <v>0.13549368452701827</v>
      </c>
      <c r="F36" s="10">
        <v>521</v>
      </c>
      <c r="G36" s="14">
        <f>+F36/F50</f>
        <v>0.1467192340185863</v>
      </c>
      <c r="H36" s="14"/>
      <c r="I36" s="9">
        <v>3301590.77</v>
      </c>
      <c r="J36" s="14">
        <f>+I36/I50</f>
        <v>0.13569260673826733</v>
      </c>
      <c r="K36" s="10">
        <v>504</v>
      </c>
      <c r="L36" s="14">
        <f>+K36/K50</f>
        <v>0.14634146341463414</v>
      </c>
      <c r="M36" s="56"/>
      <c r="N36" s="55"/>
      <c r="O36" s="56"/>
      <c r="P36" s="9">
        <v>5420062.370000004</v>
      </c>
      <c r="Q36" s="14">
        <v>0.14283056576027878</v>
      </c>
      <c r="R36" s="10">
        <v>857</v>
      </c>
      <c r="S36" s="14">
        <v>0.15232847493778884</v>
      </c>
      <c r="T36" s="56"/>
      <c r="U36" s="55"/>
      <c r="V36" s="56"/>
      <c r="W36" s="9">
        <v>6055178.580000002</v>
      </c>
      <c r="X36" s="14">
        <v>0.12981965355927955</v>
      </c>
      <c r="Y36" s="10">
        <v>1018</v>
      </c>
      <c r="Z36" s="14">
        <v>0.14407019530144352</v>
      </c>
      <c r="AA36" s="56"/>
      <c r="AB36" s="55"/>
      <c r="AC36" s="56"/>
      <c r="AD36" s="9">
        <v>6450734.339999997</v>
      </c>
      <c r="AE36" s="14">
        <v>0.1287786380290426</v>
      </c>
      <c r="AF36" s="10">
        <v>1110</v>
      </c>
      <c r="AG36" s="14">
        <v>0.13997477931904162</v>
      </c>
      <c r="AH36" s="56"/>
      <c r="AI36" s="55"/>
      <c r="AJ36" s="56"/>
      <c r="AK36" s="9">
        <v>6821892.370000001</v>
      </c>
      <c r="AL36" s="14">
        <v>0.12169152109192696</v>
      </c>
      <c r="AM36" s="10">
        <v>1186</v>
      </c>
      <c r="AN36" s="14">
        <v>0.13125276671093405</v>
      </c>
      <c r="AO36" s="56"/>
      <c r="AP36" s="55"/>
      <c r="AQ36" s="56"/>
      <c r="AR36" s="9">
        <v>8714707.130000012</v>
      </c>
      <c r="AS36" s="14">
        <v>0.12895712439294232</v>
      </c>
      <c r="AT36" s="10">
        <v>1505</v>
      </c>
      <c r="AU36" s="14">
        <v>0.1360759493670886</v>
      </c>
      <c r="AV36" s="56"/>
      <c r="AW36" s="55"/>
      <c r="AX36" s="56"/>
      <c r="AY36" s="9">
        <v>9216364.550000004</v>
      </c>
      <c r="AZ36" s="14">
        <v>0.12660573679460804</v>
      </c>
      <c r="BA36" s="10">
        <v>1638</v>
      </c>
      <c r="BB36" s="14">
        <v>0.1347261062674782</v>
      </c>
      <c r="BC36" s="56"/>
      <c r="BD36" s="55"/>
      <c r="BE36" s="9">
        <v>8078651.139999993</v>
      </c>
      <c r="BF36" s="14">
        <v>0.12516077153032212</v>
      </c>
      <c r="BG36" s="10">
        <v>1496</v>
      </c>
      <c r="BH36" s="14">
        <v>0.13499368345064067</v>
      </c>
      <c r="BI36" s="56"/>
      <c r="BJ36" s="55"/>
      <c r="BK36" s="56"/>
      <c r="BL36" s="9">
        <v>6892794.220000001</v>
      </c>
      <c r="BM36" s="14">
        <v>0.12325329317105578</v>
      </c>
      <c r="BN36" s="10">
        <v>1351</v>
      </c>
      <c r="BO36" s="14">
        <v>0.13252893859132822</v>
      </c>
      <c r="BP36" s="56"/>
      <c r="BQ36" s="55"/>
      <c r="BR36" s="56"/>
      <c r="BS36" s="9">
        <v>6045812.110000009</v>
      </c>
      <c r="BT36" s="14">
        <v>0.11259066446916914</v>
      </c>
      <c r="BU36" s="10">
        <v>1286</v>
      </c>
      <c r="BV36" s="14">
        <v>0.12755405673477485</v>
      </c>
      <c r="BW36" s="56"/>
      <c r="BX36" s="55"/>
      <c r="BY36" s="56"/>
      <c r="BZ36" s="9">
        <v>5432202.969999999</v>
      </c>
      <c r="CA36" s="14">
        <v>0.10252399660146179</v>
      </c>
      <c r="CB36" s="10">
        <v>1207</v>
      </c>
      <c r="CC36" s="14">
        <v>0.122165991902834</v>
      </c>
      <c r="CD36" s="56"/>
      <c r="CE36" s="55"/>
      <c r="CF36" s="56"/>
      <c r="CG36" s="9">
        <v>4813563.13</v>
      </c>
      <c r="CH36" s="14">
        <v>0.09350087235033817</v>
      </c>
      <c r="CI36" s="10">
        <v>1100</v>
      </c>
      <c r="CJ36" s="14">
        <v>0.11689691817215728</v>
      </c>
      <c r="CK36" s="56"/>
      <c r="CL36" s="55"/>
      <c r="CM36" s="56"/>
      <c r="CN36" s="9">
        <v>3910265.43</v>
      </c>
      <c r="CO36" s="14">
        <v>0.08566639749898947</v>
      </c>
      <c r="CP36" s="10">
        <v>962</v>
      </c>
      <c r="CQ36" s="14">
        <v>0.11361757411125546</v>
      </c>
      <c r="CR36" s="56"/>
      <c r="CS36" s="55"/>
      <c r="CT36" s="56"/>
      <c r="CU36" s="9">
        <v>5044936.15</v>
      </c>
      <c r="CV36" s="14">
        <v>0.0704349403889653</v>
      </c>
      <c r="CW36" s="10">
        <v>1360</v>
      </c>
      <c r="CX36" s="14">
        <v>0.10104762612378335</v>
      </c>
      <c r="CY36" s="56"/>
      <c r="CZ36" s="55"/>
      <c r="DA36" s="56"/>
    </row>
    <row r="37" spans="1:105" ht="12.75">
      <c r="A37" s="8" t="s">
        <v>32</v>
      </c>
      <c r="B37" s="8"/>
      <c r="C37" s="8"/>
      <c r="D37" s="9">
        <v>3369440.21</v>
      </c>
      <c r="E37" s="14">
        <f>+D37/$D$50</f>
        <v>0.12758416181210033</v>
      </c>
      <c r="F37" s="10">
        <v>427</v>
      </c>
      <c r="G37" s="14">
        <f>+F37/$F$50</f>
        <v>0.12024781751619262</v>
      </c>
      <c r="H37" s="14"/>
      <c r="I37" s="9">
        <v>3094123.37</v>
      </c>
      <c r="J37" s="14">
        <f>+I37/$I$50</f>
        <v>0.12716587090685755</v>
      </c>
      <c r="K37" s="10">
        <v>414</v>
      </c>
      <c r="L37" s="14">
        <f>+K37/$K$50</f>
        <v>0.12020905923344948</v>
      </c>
      <c r="M37" s="56"/>
      <c r="N37" s="55"/>
      <c r="O37" s="56"/>
      <c r="P37" s="9">
        <v>4769934.65</v>
      </c>
      <c r="Q37" s="14">
        <v>0.1256982702763727</v>
      </c>
      <c r="R37" s="10">
        <v>670</v>
      </c>
      <c r="S37" s="14">
        <v>0.11908993956629932</v>
      </c>
      <c r="T37" s="56"/>
      <c r="U37" s="55"/>
      <c r="V37" s="56"/>
      <c r="W37" s="9">
        <v>5764161.450000008</v>
      </c>
      <c r="X37" s="14">
        <v>0.12358040850692056</v>
      </c>
      <c r="Y37" s="10">
        <v>792</v>
      </c>
      <c r="Z37" s="14">
        <v>0.11208604585338239</v>
      </c>
      <c r="AA37" s="56"/>
      <c r="AB37" s="55"/>
      <c r="AC37" s="56"/>
      <c r="AD37" s="9">
        <v>6157630.899999994</v>
      </c>
      <c r="AE37" s="14">
        <v>0.12292729462914874</v>
      </c>
      <c r="AF37" s="10">
        <v>901</v>
      </c>
      <c r="AG37" s="14">
        <v>0.11361916771752838</v>
      </c>
      <c r="AH37" s="56"/>
      <c r="AI37" s="55"/>
      <c r="AJ37" s="56"/>
      <c r="AK37" s="9">
        <v>6751490.060000009</v>
      </c>
      <c r="AL37" s="14">
        <v>0.12043565780244438</v>
      </c>
      <c r="AM37" s="10">
        <v>1015</v>
      </c>
      <c r="AN37" s="14">
        <v>0.11232846392208942</v>
      </c>
      <c r="AO37" s="56"/>
      <c r="AP37" s="55"/>
      <c r="AQ37" s="56"/>
      <c r="AR37" s="9">
        <v>7308207.189999994</v>
      </c>
      <c r="AS37" s="14">
        <v>0.10814424049270643</v>
      </c>
      <c r="AT37" s="10">
        <v>1129</v>
      </c>
      <c r="AU37" s="14">
        <v>0.10207956600361663</v>
      </c>
      <c r="AV37" s="56"/>
      <c r="AW37" s="55"/>
      <c r="AX37" s="56"/>
      <c r="AY37" s="9">
        <v>7445640.860000002</v>
      </c>
      <c r="AZ37" s="14">
        <v>0.10228120229774752</v>
      </c>
      <c r="BA37" s="10">
        <v>1174</v>
      </c>
      <c r="BB37" s="14">
        <v>0.09656193452870537</v>
      </c>
      <c r="BC37" s="56"/>
      <c r="BD37" s="55"/>
      <c r="BE37" s="9">
        <v>6520987.300000008</v>
      </c>
      <c r="BF37" s="14">
        <v>0.10102822704724862</v>
      </c>
      <c r="BG37" s="10">
        <v>1099</v>
      </c>
      <c r="BH37" s="14">
        <v>0.09916982494134632</v>
      </c>
      <c r="BI37" s="56"/>
      <c r="BJ37" s="55"/>
      <c r="BK37" s="56"/>
      <c r="BL37" s="9">
        <v>5543053.049999997</v>
      </c>
      <c r="BM37" s="14">
        <v>0.09911793691040503</v>
      </c>
      <c r="BN37" s="10">
        <v>992</v>
      </c>
      <c r="BO37" s="14">
        <v>0.09731214439866588</v>
      </c>
      <c r="BP37" s="56"/>
      <c r="BQ37" s="55"/>
      <c r="BR37" s="56"/>
      <c r="BS37" s="9">
        <v>5476840.15</v>
      </c>
      <c r="BT37" s="14">
        <v>0.10199474619133063</v>
      </c>
      <c r="BU37" s="10">
        <v>959</v>
      </c>
      <c r="BV37" s="14">
        <v>0.09512001586986708</v>
      </c>
      <c r="BW37" s="56"/>
      <c r="BX37" s="55"/>
      <c r="BY37" s="56"/>
      <c r="BZ37" s="9">
        <v>5678391.179999999</v>
      </c>
      <c r="CA37" s="14">
        <v>0.10717039868635295</v>
      </c>
      <c r="CB37" s="10">
        <v>936</v>
      </c>
      <c r="CC37" s="14">
        <v>0.09473684210526316</v>
      </c>
      <c r="CD37" s="56"/>
      <c r="CE37" s="55"/>
      <c r="CF37" s="56"/>
      <c r="CG37" s="9">
        <v>6201908.56</v>
      </c>
      <c r="CH37" s="14">
        <v>0.12046873489265528</v>
      </c>
      <c r="CI37" s="10">
        <v>938</v>
      </c>
      <c r="CJ37" s="14">
        <v>0.09968119022316685</v>
      </c>
      <c r="CK37" s="56"/>
      <c r="CL37" s="55"/>
      <c r="CM37" s="56"/>
      <c r="CN37" s="9">
        <v>5831554.510000006</v>
      </c>
      <c r="CO37" s="14">
        <v>0.12775814727510332</v>
      </c>
      <c r="CP37" s="10">
        <v>871</v>
      </c>
      <c r="CQ37" s="14">
        <v>0.10286996574937994</v>
      </c>
      <c r="CR37" s="56"/>
      <c r="CS37" s="55"/>
      <c r="CT37" s="56"/>
      <c r="CU37" s="9">
        <v>10071640.389999999</v>
      </c>
      <c r="CV37" s="14">
        <v>0.1406153357339806</v>
      </c>
      <c r="CW37" s="10">
        <v>1388</v>
      </c>
      <c r="CX37" s="14">
        <v>0.10312801842633182</v>
      </c>
      <c r="CY37" s="56"/>
      <c r="CZ37" s="55"/>
      <c r="DA37" s="56"/>
    </row>
    <row r="38" spans="1:105" ht="12.75">
      <c r="A38" s="8" t="s">
        <v>33</v>
      </c>
      <c r="B38" s="8"/>
      <c r="C38" s="8"/>
      <c r="D38" s="9">
        <v>3227003.07</v>
      </c>
      <c r="E38" s="14">
        <f aca="true" t="shared" si="0" ref="E38:E48">+D38/$D$50</f>
        <v>0.12219076647483366</v>
      </c>
      <c r="F38" s="10">
        <v>468</v>
      </c>
      <c r="G38" s="14">
        <f aca="true" t="shared" si="1" ref="G38:G48">+F38/$F$50</f>
        <v>0.13179386088425796</v>
      </c>
      <c r="H38" s="14"/>
      <c r="I38" s="9">
        <v>2958975.41</v>
      </c>
      <c r="J38" s="14">
        <f aca="true" t="shared" si="2" ref="J38:J48">+I38/$I$50</f>
        <v>0.1216114032985782</v>
      </c>
      <c r="K38" s="10">
        <v>451</v>
      </c>
      <c r="L38" s="14">
        <f aca="true" t="shared" si="3" ref="L38:L48">+K38/$K$50</f>
        <v>0.13095238095238096</v>
      </c>
      <c r="M38" s="56"/>
      <c r="N38" s="55"/>
      <c r="O38" s="56"/>
      <c r="P38" s="9">
        <v>5202617.81</v>
      </c>
      <c r="Q38" s="14">
        <v>0.13710042329952046</v>
      </c>
      <c r="R38" s="10">
        <v>807</v>
      </c>
      <c r="S38" s="14">
        <v>0.14344116601493068</v>
      </c>
      <c r="T38" s="56"/>
      <c r="U38" s="55"/>
      <c r="V38" s="56"/>
      <c r="W38" s="9">
        <v>6040616.820000004</v>
      </c>
      <c r="X38" s="14">
        <v>0.12950745754169932</v>
      </c>
      <c r="Y38" s="10">
        <v>969</v>
      </c>
      <c r="Z38" s="14">
        <v>0.13713557882819133</v>
      </c>
      <c r="AA38" s="56"/>
      <c r="AB38" s="55"/>
      <c r="AC38" s="56"/>
      <c r="AD38" s="9">
        <v>6315143.660000002</v>
      </c>
      <c r="AE38" s="14">
        <v>0.12607178603677296</v>
      </c>
      <c r="AF38" s="10">
        <v>1068</v>
      </c>
      <c r="AG38" s="14">
        <v>0.1346784363177806</v>
      </c>
      <c r="AH38" s="56"/>
      <c r="AI38" s="55"/>
      <c r="AJ38" s="56"/>
      <c r="AK38" s="9">
        <v>7132683.989999997</v>
      </c>
      <c r="AL38" s="14">
        <v>0.12723554068783033</v>
      </c>
      <c r="AM38" s="10">
        <v>1205</v>
      </c>
      <c r="AN38" s="14">
        <v>0.13335546702080567</v>
      </c>
      <c r="AO38" s="56"/>
      <c r="AP38" s="55"/>
      <c r="AQ38" s="56"/>
      <c r="AR38" s="9">
        <v>7944997.4599999925</v>
      </c>
      <c r="AS38" s="14">
        <v>0.11756723553265622</v>
      </c>
      <c r="AT38" s="10">
        <v>1389</v>
      </c>
      <c r="AU38" s="14">
        <v>0.1255877034358047</v>
      </c>
      <c r="AV38" s="56"/>
      <c r="AW38" s="55"/>
      <c r="AX38" s="56"/>
      <c r="AY38" s="9">
        <v>8134901.040000002</v>
      </c>
      <c r="AZ38" s="14">
        <v>0.11174960954863954</v>
      </c>
      <c r="BA38" s="10">
        <v>1448</v>
      </c>
      <c r="BB38" s="14">
        <v>0.11909853594341174</v>
      </c>
      <c r="BC38" s="56"/>
      <c r="BD38" s="55"/>
      <c r="BE38" s="9">
        <v>7136546.349999992</v>
      </c>
      <c r="BF38" s="14">
        <v>0.11056494849806128</v>
      </c>
      <c r="BG38" s="10">
        <v>1336</v>
      </c>
      <c r="BH38" s="14">
        <v>0.12055585634362029</v>
      </c>
      <c r="BI38" s="56"/>
      <c r="BJ38" s="55"/>
      <c r="BK38" s="56"/>
      <c r="BL38" s="9">
        <v>6118883.790000006</v>
      </c>
      <c r="BM38" s="14">
        <v>0.10941463702197851</v>
      </c>
      <c r="BN38" s="10">
        <v>1219</v>
      </c>
      <c r="BO38" s="14">
        <v>0.11958014518344123</v>
      </c>
      <c r="BP38" s="56"/>
      <c r="BQ38" s="55"/>
      <c r="BR38" s="56"/>
      <c r="BS38" s="9">
        <v>6185025.810000003</v>
      </c>
      <c r="BT38" s="14">
        <v>0.11518322981870842</v>
      </c>
      <c r="BU38" s="10">
        <v>1260</v>
      </c>
      <c r="BV38" s="14">
        <v>0.12497520333267209</v>
      </c>
      <c r="BW38" s="56"/>
      <c r="BX38" s="55"/>
      <c r="BY38" s="56"/>
      <c r="BZ38" s="9">
        <v>6348588.419999987</v>
      </c>
      <c r="CA38" s="14">
        <v>0.11981928164148815</v>
      </c>
      <c r="CB38" s="10">
        <v>1271</v>
      </c>
      <c r="CC38" s="14">
        <v>0.12864372469635627</v>
      </c>
      <c r="CD38" s="56"/>
      <c r="CE38" s="55"/>
      <c r="CF38" s="56"/>
      <c r="CG38" s="9">
        <v>6234419.1900000125</v>
      </c>
      <c r="CH38" s="14">
        <v>0.12110023637784724</v>
      </c>
      <c r="CI38" s="10">
        <v>1209</v>
      </c>
      <c r="CJ38" s="14">
        <v>0.12848034006376197</v>
      </c>
      <c r="CK38" s="56"/>
      <c r="CL38" s="55"/>
      <c r="CM38" s="56"/>
      <c r="CN38" s="9">
        <v>5755909.549999999</v>
      </c>
      <c r="CO38" s="14">
        <v>0.12610091164029483</v>
      </c>
      <c r="CP38" s="10">
        <v>1108</v>
      </c>
      <c r="CQ38" s="14">
        <v>0.130860989724814</v>
      </c>
      <c r="CR38" s="56"/>
      <c r="CS38" s="55"/>
      <c r="CT38" s="56"/>
      <c r="CU38" s="9">
        <v>8496018.669999992</v>
      </c>
      <c r="CV38" s="14">
        <v>0.11861727299858614</v>
      </c>
      <c r="CW38" s="10">
        <v>1689</v>
      </c>
      <c r="CX38" s="14">
        <v>0.125492235678728</v>
      </c>
      <c r="CY38" s="56"/>
      <c r="CZ38" s="55"/>
      <c r="DA38" s="56"/>
    </row>
    <row r="39" spans="1:105" ht="12.75">
      <c r="A39" s="8" t="s">
        <v>34</v>
      </c>
      <c r="B39" s="8"/>
      <c r="C39" s="8"/>
      <c r="D39" s="9">
        <v>1360088.95</v>
      </c>
      <c r="E39" s="14">
        <f t="shared" si="0"/>
        <v>0.05149989252239903</v>
      </c>
      <c r="F39" s="10">
        <v>189</v>
      </c>
      <c r="G39" s="14">
        <f t="shared" si="1"/>
        <v>0.053224443818642636</v>
      </c>
      <c r="H39" s="14"/>
      <c r="I39" s="9">
        <v>1238433.43</v>
      </c>
      <c r="J39" s="14">
        <f t="shared" si="2"/>
        <v>0.05089857347417818</v>
      </c>
      <c r="K39" s="10">
        <v>182</v>
      </c>
      <c r="L39" s="14">
        <f t="shared" si="3"/>
        <v>0.052845528455284556</v>
      </c>
      <c r="M39" s="56"/>
      <c r="N39" s="55"/>
      <c r="O39" s="56"/>
      <c r="P39" s="9">
        <v>1731861.98</v>
      </c>
      <c r="Q39" s="14">
        <v>0.045638372685758676</v>
      </c>
      <c r="R39" s="10">
        <v>267</v>
      </c>
      <c r="S39" s="14">
        <v>0.047458229648062566</v>
      </c>
      <c r="T39" s="56"/>
      <c r="U39" s="55"/>
      <c r="V39" s="56"/>
      <c r="W39" s="9">
        <v>2007676.56</v>
      </c>
      <c r="X39" s="14">
        <v>0.04304346635442846</v>
      </c>
      <c r="Y39" s="10">
        <v>316</v>
      </c>
      <c r="Z39" s="14">
        <v>0.04472120011321823</v>
      </c>
      <c r="AA39" s="56"/>
      <c r="AB39" s="55"/>
      <c r="AC39" s="56"/>
      <c r="AD39" s="9">
        <v>2266412.6</v>
      </c>
      <c r="AE39" s="14">
        <v>0.04524531820044868</v>
      </c>
      <c r="AF39" s="10">
        <v>362</v>
      </c>
      <c r="AG39" s="14">
        <v>0.04564943253467844</v>
      </c>
      <c r="AH39" s="56"/>
      <c r="AI39" s="55"/>
      <c r="AJ39" s="56"/>
      <c r="AK39" s="9">
        <v>2754800.58</v>
      </c>
      <c r="AL39" s="14">
        <v>0.0491411846893624</v>
      </c>
      <c r="AM39" s="10">
        <v>423</v>
      </c>
      <c r="AN39" s="14">
        <v>0.046812749003984064</v>
      </c>
      <c r="AO39" s="56"/>
      <c r="AP39" s="55"/>
      <c r="AQ39" s="56"/>
      <c r="AR39" s="9">
        <v>3318231.83</v>
      </c>
      <c r="AS39" s="14">
        <v>0.04910200979593101</v>
      </c>
      <c r="AT39" s="10">
        <v>523</v>
      </c>
      <c r="AU39" s="14">
        <v>0.0472875226039783</v>
      </c>
      <c r="AV39" s="56"/>
      <c r="AW39" s="55"/>
      <c r="AX39" s="56"/>
      <c r="AY39" s="9">
        <v>3445232.89</v>
      </c>
      <c r="AZ39" s="14">
        <v>0.04732736493886479</v>
      </c>
      <c r="BA39" s="10">
        <v>577</v>
      </c>
      <c r="BB39" s="14">
        <v>0.047458463563086035</v>
      </c>
      <c r="BC39" s="56"/>
      <c r="BD39" s="55"/>
      <c r="BE39" s="9">
        <v>3056817.3</v>
      </c>
      <c r="BF39" s="14">
        <v>0.0473586004724096</v>
      </c>
      <c r="BG39" s="10">
        <v>553</v>
      </c>
      <c r="BH39" s="14">
        <v>0.049900739938639235</v>
      </c>
      <c r="BI39" s="56"/>
      <c r="BJ39" s="55"/>
      <c r="BK39" s="56"/>
      <c r="BL39" s="9">
        <v>2620973.1</v>
      </c>
      <c r="BM39" s="14">
        <v>0.04686685190026624</v>
      </c>
      <c r="BN39" s="10">
        <v>512</v>
      </c>
      <c r="BO39" s="14">
        <v>0.05022562291544046</v>
      </c>
      <c r="BP39" s="56"/>
      <c r="BQ39" s="55"/>
      <c r="BR39" s="56"/>
      <c r="BS39" s="9">
        <v>2499205.51</v>
      </c>
      <c r="BT39" s="14">
        <v>0.04654249981577883</v>
      </c>
      <c r="BU39" s="10">
        <v>530</v>
      </c>
      <c r="BV39" s="14">
        <v>0.052568934735171595</v>
      </c>
      <c r="BW39" s="56"/>
      <c r="BX39" s="55"/>
      <c r="BY39" s="56"/>
      <c r="BZ39" s="9">
        <v>2577590.45</v>
      </c>
      <c r="CA39" s="14">
        <v>0.04864782777727479</v>
      </c>
      <c r="CB39" s="10">
        <v>543</v>
      </c>
      <c r="CC39" s="14">
        <v>0.05495951417004048</v>
      </c>
      <c r="CD39" s="56"/>
      <c r="CE39" s="55"/>
      <c r="CF39" s="56"/>
      <c r="CG39" s="9">
        <v>2476539.41</v>
      </c>
      <c r="CH39" s="14">
        <v>0.048105444759169884</v>
      </c>
      <c r="CI39" s="10">
        <v>528</v>
      </c>
      <c r="CJ39" s="14">
        <v>0.0561105207226355</v>
      </c>
      <c r="CK39" s="56"/>
      <c r="CL39" s="55"/>
      <c r="CM39" s="56"/>
      <c r="CN39" s="9">
        <v>2101513.46</v>
      </c>
      <c r="CO39" s="14">
        <v>0.04604011943348735</v>
      </c>
      <c r="CP39" s="10">
        <v>466</v>
      </c>
      <c r="CQ39" s="14">
        <v>0.05503720325971419</v>
      </c>
      <c r="CR39" s="56"/>
      <c r="CS39" s="55"/>
      <c r="CT39" s="56"/>
      <c r="CU39" s="9">
        <v>3146538.61</v>
      </c>
      <c r="CV39" s="14">
        <v>0.04393043892674986</v>
      </c>
      <c r="CW39" s="10">
        <v>745</v>
      </c>
      <c r="CX39" s="14">
        <v>0.05535329519280779</v>
      </c>
      <c r="CY39" s="56"/>
      <c r="CZ39" s="55"/>
      <c r="DA39" s="56"/>
    </row>
    <row r="40" spans="1:105" ht="12.75">
      <c r="A40" s="8" t="s">
        <v>35</v>
      </c>
      <c r="B40" s="8"/>
      <c r="C40" s="8"/>
      <c r="D40" s="9">
        <v>1709091.44</v>
      </c>
      <c r="E40" s="14">
        <f t="shared" si="0"/>
        <v>0.06471490373548891</v>
      </c>
      <c r="F40" s="10">
        <v>231</v>
      </c>
      <c r="G40" s="14">
        <f t="shared" si="1"/>
        <v>0.06505209800056322</v>
      </c>
      <c r="H40" s="14"/>
      <c r="I40" s="9">
        <v>1596245.65</v>
      </c>
      <c r="J40" s="14">
        <f t="shared" si="2"/>
        <v>0.06560435509186982</v>
      </c>
      <c r="K40" s="10">
        <v>225</v>
      </c>
      <c r="L40" s="14">
        <f t="shared" si="3"/>
        <v>0.06533101045296168</v>
      </c>
      <c r="M40" s="56"/>
      <c r="N40" s="55"/>
      <c r="O40" s="56"/>
      <c r="P40" s="9">
        <v>2383585.71</v>
      </c>
      <c r="Q40" s="14">
        <v>0.06281272654384885</v>
      </c>
      <c r="R40" s="10">
        <v>343</v>
      </c>
      <c r="S40" s="14">
        <v>0.06096693921080697</v>
      </c>
      <c r="T40" s="56"/>
      <c r="U40" s="55"/>
      <c r="V40" s="56"/>
      <c r="W40" s="9">
        <v>3004588.69</v>
      </c>
      <c r="X40" s="14">
        <v>0.06441670673632373</v>
      </c>
      <c r="Y40" s="10">
        <v>407</v>
      </c>
      <c r="Z40" s="14">
        <v>0.05759977356354373</v>
      </c>
      <c r="AA40" s="56"/>
      <c r="AB40" s="55"/>
      <c r="AC40" s="56"/>
      <c r="AD40" s="9">
        <v>3152497.15</v>
      </c>
      <c r="AE40" s="14">
        <v>0.06293458511383043</v>
      </c>
      <c r="AF40" s="10">
        <v>442</v>
      </c>
      <c r="AG40" s="14">
        <v>0.05573770491803279</v>
      </c>
      <c r="AH40" s="56"/>
      <c r="AI40" s="55"/>
      <c r="AJ40" s="56"/>
      <c r="AK40" s="9">
        <v>3448026.85</v>
      </c>
      <c r="AL40" s="14">
        <v>0.06150721960779122</v>
      </c>
      <c r="AM40" s="10">
        <v>499</v>
      </c>
      <c r="AN40" s="14">
        <v>0.05522355024347056</v>
      </c>
      <c r="AO40" s="56"/>
      <c r="AP40" s="55"/>
      <c r="AQ40" s="56"/>
      <c r="AR40" s="9">
        <v>4633149.549999992</v>
      </c>
      <c r="AS40" s="14">
        <v>0.06855969270541086</v>
      </c>
      <c r="AT40" s="10">
        <v>702</v>
      </c>
      <c r="AU40" s="14">
        <v>0.06347197106690777</v>
      </c>
      <c r="AV40" s="56"/>
      <c r="AW40" s="55"/>
      <c r="AX40" s="56"/>
      <c r="AY40" s="9">
        <v>5306216.78</v>
      </c>
      <c r="AZ40" s="14">
        <v>0.07289180906193782</v>
      </c>
      <c r="BA40" s="10">
        <v>799</v>
      </c>
      <c r="BB40" s="14">
        <v>0.0657180457312058</v>
      </c>
      <c r="BC40" s="56"/>
      <c r="BD40" s="55"/>
      <c r="BE40" s="9">
        <v>4791724.389999994</v>
      </c>
      <c r="BF40" s="14">
        <v>0.07423713578168718</v>
      </c>
      <c r="BG40" s="10">
        <v>751</v>
      </c>
      <c r="BH40" s="14">
        <v>0.06776755098357697</v>
      </c>
      <c r="BI40" s="56"/>
      <c r="BJ40" s="55"/>
      <c r="BK40" s="56"/>
      <c r="BL40" s="9">
        <v>4300289.29</v>
      </c>
      <c r="BM40" s="14">
        <v>0.0768954939990536</v>
      </c>
      <c r="BN40" s="10">
        <v>708</v>
      </c>
      <c r="BO40" s="14">
        <v>0.06945261918775751</v>
      </c>
      <c r="BP40" s="56"/>
      <c r="BQ40" s="55"/>
      <c r="BR40" s="56"/>
      <c r="BS40" s="9">
        <v>4191632.49</v>
      </c>
      <c r="BT40" s="14">
        <v>0.0780604290495652</v>
      </c>
      <c r="BU40" s="10">
        <v>704</v>
      </c>
      <c r="BV40" s="14">
        <v>0.06982741519539774</v>
      </c>
      <c r="BW40" s="56"/>
      <c r="BX40" s="55"/>
      <c r="BY40" s="56"/>
      <c r="BZ40" s="9">
        <v>4296994.649999994</v>
      </c>
      <c r="CA40" s="14">
        <v>0.08109878576446103</v>
      </c>
      <c r="CB40" s="10">
        <v>706</v>
      </c>
      <c r="CC40" s="14">
        <v>0.07145748987854252</v>
      </c>
      <c r="CD40" s="56"/>
      <c r="CE40" s="55"/>
      <c r="CF40" s="56"/>
      <c r="CG40" s="9">
        <v>3986881.04</v>
      </c>
      <c r="CH40" s="14">
        <v>0.07744301780810423</v>
      </c>
      <c r="CI40" s="10">
        <v>652</v>
      </c>
      <c r="CJ40" s="14">
        <v>0.06928799149840595</v>
      </c>
      <c r="CK40" s="56"/>
      <c r="CL40" s="55"/>
      <c r="CM40" s="56"/>
      <c r="CN40" s="9">
        <v>3565281.6</v>
      </c>
      <c r="CO40" s="14">
        <v>0.07810846506689273</v>
      </c>
      <c r="CP40" s="10">
        <v>585</v>
      </c>
      <c r="CQ40" s="14">
        <v>0.06909176804062832</v>
      </c>
      <c r="CR40" s="56"/>
      <c r="CS40" s="55"/>
      <c r="CT40" s="56"/>
      <c r="CU40" s="9">
        <v>5665252.699999998</v>
      </c>
      <c r="CV40" s="14">
        <v>0.07909549781178596</v>
      </c>
      <c r="CW40" s="10">
        <v>948</v>
      </c>
      <c r="CX40" s="14">
        <v>0.07043613938628428</v>
      </c>
      <c r="CY40" s="56"/>
      <c r="CZ40" s="55"/>
      <c r="DA40" s="56"/>
    </row>
    <row r="41" spans="1:105" ht="12.75">
      <c r="A41" s="8" t="s">
        <v>42</v>
      </c>
      <c r="B41" s="8"/>
      <c r="C41" s="8"/>
      <c r="D41" s="9">
        <v>139508.85</v>
      </c>
      <c r="E41" s="14">
        <f t="shared" si="0"/>
        <v>0.0052825153685157784</v>
      </c>
      <c r="F41" s="10">
        <v>15</v>
      </c>
      <c r="G41" s="14">
        <f t="shared" si="1"/>
        <v>0.00422416220782878</v>
      </c>
      <c r="H41" s="14"/>
      <c r="I41" s="9">
        <v>132701.34</v>
      </c>
      <c r="J41" s="14">
        <f t="shared" si="2"/>
        <v>0.005453913581864388</v>
      </c>
      <c r="K41" s="10">
        <v>15</v>
      </c>
      <c r="L41" s="14">
        <f t="shared" si="3"/>
        <v>0.004355400696864111</v>
      </c>
      <c r="M41" s="56"/>
      <c r="N41" s="55"/>
      <c r="O41" s="56"/>
      <c r="P41" s="9">
        <v>196282.09</v>
      </c>
      <c r="Q41" s="14">
        <v>0.005172464825955488</v>
      </c>
      <c r="R41" s="10">
        <v>22</v>
      </c>
      <c r="S41" s="14">
        <v>0.0039104159260575895</v>
      </c>
      <c r="T41" s="56"/>
      <c r="U41" s="55"/>
      <c r="V41" s="56"/>
      <c r="W41" s="9">
        <v>347990.03</v>
      </c>
      <c r="X41" s="14">
        <v>0.007460712271294115</v>
      </c>
      <c r="Y41" s="10">
        <v>40</v>
      </c>
      <c r="Z41" s="14">
        <v>0.005660911406736484</v>
      </c>
      <c r="AA41" s="56"/>
      <c r="AB41" s="55"/>
      <c r="AC41" s="56"/>
      <c r="AD41" s="9">
        <v>395812.8</v>
      </c>
      <c r="AE41" s="14">
        <v>0.007901772203265442</v>
      </c>
      <c r="AF41" s="10">
        <v>49</v>
      </c>
      <c r="AG41" s="14">
        <v>0.00617906683480454</v>
      </c>
      <c r="AH41" s="56"/>
      <c r="AI41" s="55"/>
      <c r="AJ41" s="56"/>
      <c r="AK41" s="9">
        <v>405706.5</v>
      </c>
      <c r="AL41" s="14">
        <v>0.007237147469373202</v>
      </c>
      <c r="AM41" s="10">
        <v>56</v>
      </c>
      <c r="AN41" s="14">
        <v>0.00619743249225321</v>
      </c>
      <c r="AO41" s="56"/>
      <c r="AP41" s="55"/>
      <c r="AQ41" s="56"/>
      <c r="AR41" s="9">
        <v>627793.47</v>
      </c>
      <c r="AS41" s="14">
        <v>0.009289863605992094</v>
      </c>
      <c r="AT41" s="10">
        <v>79</v>
      </c>
      <c r="AU41" s="14">
        <v>0.007142857142857143</v>
      </c>
      <c r="AV41" s="56"/>
      <c r="AW41" s="55"/>
      <c r="AX41" s="56"/>
      <c r="AY41" s="9">
        <v>635111.2</v>
      </c>
      <c r="AZ41" s="14">
        <v>0.00872455955776051</v>
      </c>
      <c r="BA41" s="10">
        <v>83</v>
      </c>
      <c r="BB41" s="14">
        <v>0.006826780720513242</v>
      </c>
      <c r="BC41" s="56"/>
      <c r="BD41" s="55"/>
      <c r="BE41" s="9">
        <v>641348.04</v>
      </c>
      <c r="BF41" s="14">
        <v>0.009936264620761926</v>
      </c>
      <c r="BG41" s="10">
        <v>87</v>
      </c>
      <c r="BH41" s="14">
        <v>0.00785056848944234</v>
      </c>
      <c r="BI41" s="56"/>
      <c r="BJ41" s="55"/>
      <c r="BK41" s="56"/>
      <c r="BL41" s="9">
        <v>568521.59</v>
      </c>
      <c r="BM41" s="14">
        <v>0.010166001765006235</v>
      </c>
      <c r="BN41" s="10">
        <v>84</v>
      </c>
      <c r="BO41" s="14">
        <v>0.00824014125956445</v>
      </c>
      <c r="BP41" s="56"/>
      <c r="BQ41" s="55"/>
      <c r="BR41" s="56"/>
      <c r="BS41" s="9">
        <v>546157.47</v>
      </c>
      <c r="BT41" s="14">
        <v>0.010171045896446195</v>
      </c>
      <c r="BU41" s="10">
        <v>84</v>
      </c>
      <c r="BV41" s="14">
        <v>0.00833168022217814</v>
      </c>
      <c r="BW41" s="56"/>
      <c r="BX41" s="55"/>
      <c r="BY41" s="56"/>
      <c r="BZ41" s="9">
        <v>565419.5</v>
      </c>
      <c r="CA41" s="14">
        <v>0.01067137351393927</v>
      </c>
      <c r="CB41" s="10">
        <v>81</v>
      </c>
      <c r="CC41" s="14">
        <v>0.00819838056680162</v>
      </c>
      <c r="CD41" s="56"/>
      <c r="CE41" s="55"/>
      <c r="CF41" s="56"/>
      <c r="CG41" s="9">
        <v>538897.67</v>
      </c>
      <c r="CH41" s="14">
        <v>0.01046779711655401</v>
      </c>
      <c r="CI41" s="10">
        <v>76</v>
      </c>
      <c r="CJ41" s="14">
        <v>0.008076514346439958</v>
      </c>
      <c r="CK41" s="56"/>
      <c r="CL41" s="55"/>
      <c r="CM41" s="56"/>
      <c r="CN41" s="9">
        <v>430889.65</v>
      </c>
      <c r="CO41" s="14">
        <v>0.00943996378146136</v>
      </c>
      <c r="CP41" s="10">
        <v>66</v>
      </c>
      <c r="CQ41" s="14">
        <v>0.007794968702019606</v>
      </c>
      <c r="CR41" s="56"/>
      <c r="CS41" s="55"/>
      <c r="CT41" s="56"/>
      <c r="CU41" s="9">
        <v>710717.51</v>
      </c>
      <c r="CV41" s="14">
        <v>0.00992269157861272</v>
      </c>
      <c r="CW41" s="10">
        <v>100</v>
      </c>
      <c r="CX41" s="14">
        <v>0.0074299725091017165</v>
      </c>
      <c r="CY41" s="56"/>
      <c r="CZ41" s="55"/>
      <c r="DA41" s="56"/>
    </row>
    <row r="42" spans="1:105" ht="12.75">
      <c r="A42" s="8" t="s">
        <v>36</v>
      </c>
      <c r="B42" s="8"/>
      <c r="C42" s="8"/>
      <c r="D42" s="9">
        <v>3129384.69</v>
      </c>
      <c r="E42" s="14">
        <f t="shared" si="0"/>
        <v>0.1184944375853072</v>
      </c>
      <c r="F42" s="10">
        <v>361</v>
      </c>
      <c r="G42" s="14">
        <f t="shared" si="1"/>
        <v>0.10166150380174599</v>
      </c>
      <c r="H42" s="14"/>
      <c r="I42" s="9">
        <v>2832920.96</v>
      </c>
      <c r="J42" s="14">
        <f t="shared" si="2"/>
        <v>0.11643067131117366</v>
      </c>
      <c r="K42" s="10">
        <v>347</v>
      </c>
      <c r="L42" s="14">
        <f t="shared" si="3"/>
        <v>0.10075493612078978</v>
      </c>
      <c r="M42" s="56"/>
      <c r="N42" s="55"/>
      <c r="O42" s="56"/>
      <c r="P42" s="9">
        <v>4190956.6400000057</v>
      </c>
      <c r="Q42" s="14">
        <v>0.11044092615635297</v>
      </c>
      <c r="R42" s="10">
        <v>551</v>
      </c>
      <c r="S42" s="14">
        <v>0.0979381443298969</v>
      </c>
      <c r="T42" s="56"/>
      <c r="U42" s="55"/>
      <c r="V42" s="56"/>
      <c r="W42" s="9">
        <v>5514076.590000002</v>
      </c>
      <c r="X42" s="14">
        <v>0.11821872850744783</v>
      </c>
      <c r="Y42" s="10">
        <v>753</v>
      </c>
      <c r="Z42" s="14">
        <v>0.10656665723181433</v>
      </c>
      <c r="AA42" s="56"/>
      <c r="AB42" s="55"/>
      <c r="AC42" s="56"/>
      <c r="AD42" s="9">
        <v>6369103.369999999</v>
      </c>
      <c r="AE42" s="14">
        <v>0.12714900571378757</v>
      </c>
      <c r="AF42" s="10">
        <v>917</v>
      </c>
      <c r="AG42" s="14">
        <v>0.11563682219419924</v>
      </c>
      <c r="AH42" s="56"/>
      <c r="AI42" s="55"/>
      <c r="AJ42" s="56"/>
      <c r="AK42" s="9">
        <v>7054650.569999995</v>
      </c>
      <c r="AL42" s="14">
        <v>0.12584355074416526</v>
      </c>
      <c r="AM42" s="10">
        <v>1021</v>
      </c>
      <c r="AN42" s="14">
        <v>0.11299247454625941</v>
      </c>
      <c r="AO42" s="56"/>
      <c r="AP42" s="55"/>
      <c r="AQ42" s="56"/>
      <c r="AR42" s="9">
        <v>8328070.749999995</v>
      </c>
      <c r="AS42" s="14">
        <v>0.12323581729601651</v>
      </c>
      <c r="AT42" s="10">
        <v>1218</v>
      </c>
      <c r="AU42" s="14">
        <v>0.11012658227848102</v>
      </c>
      <c r="AV42" s="56"/>
      <c r="AW42" s="55"/>
      <c r="AX42" s="56"/>
      <c r="AY42" s="9">
        <v>9051606.210000012</v>
      </c>
      <c r="AZ42" s="14">
        <v>0.12434244187874498</v>
      </c>
      <c r="BA42" s="10">
        <v>1347</v>
      </c>
      <c r="BB42" s="14">
        <v>0.11079124856061852</v>
      </c>
      <c r="BC42" s="56"/>
      <c r="BD42" s="55"/>
      <c r="BE42" s="9">
        <v>8104180.189999993</v>
      </c>
      <c r="BF42" s="14">
        <v>0.12555628750682166</v>
      </c>
      <c r="BG42" s="10">
        <v>1282</v>
      </c>
      <c r="BH42" s="14">
        <v>0.1156830896950009</v>
      </c>
      <c r="BI42" s="56"/>
      <c r="BJ42" s="55"/>
      <c r="BK42" s="56"/>
      <c r="BL42" s="9">
        <v>7223374.719999988</v>
      </c>
      <c r="BM42" s="14">
        <v>0.1291645584696639</v>
      </c>
      <c r="BN42" s="10">
        <v>1186</v>
      </c>
      <c r="BO42" s="14">
        <v>0.1163429468314695</v>
      </c>
      <c r="BP42" s="56"/>
      <c r="BQ42" s="55"/>
      <c r="BR42" s="56"/>
      <c r="BS42" s="9">
        <v>7234975.500000013</v>
      </c>
      <c r="BT42" s="14">
        <v>0.13473635702568326</v>
      </c>
      <c r="BU42" s="10">
        <v>1187</v>
      </c>
      <c r="BV42" s="14">
        <v>0.11773457647292204</v>
      </c>
      <c r="BW42" s="56"/>
      <c r="BX42" s="55"/>
      <c r="BY42" s="56"/>
      <c r="BZ42" s="9">
        <v>7410544.1400000015</v>
      </c>
      <c r="CA42" s="14">
        <v>0.13986196878507706</v>
      </c>
      <c r="CB42" s="10">
        <v>1189</v>
      </c>
      <c r="CC42" s="14">
        <v>0.12034412955465587</v>
      </c>
      <c r="CD42" s="56"/>
      <c r="CE42" s="55"/>
      <c r="CF42" s="56"/>
      <c r="CG42" s="9">
        <v>8021393.969999985</v>
      </c>
      <c r="CH42" s="14">
        <v>0.15581125943615523</v>
      </c>
      <c r="CI42" s="10">
        <v>1195</v>
      </c>
      <c r="CJ42" s="14">
        <v>0.12699256110520724</v>
      </c>
      <c r="CK42" s="56"/>
      <c r="CL42" s="55"/>
      <c r="CM42" s="56"/>
      <c r="CN42" s="9">
        <v>7515713.210000004</v>
      </c>
      <c r="CO42" s="14">
        <v>0.1646548263441713</v>
      </c>
      <c r="CP42" s="10">
        <v>1083</v>
      </c>
      <c r="CQ42" s="14">
        <v>0.12790835006495807</v>
      </c>
      <c r="CR42" s="56"/>
      <c r="CS42" s="55"/>
      <c r="CT42" s="56"/>
      <c r="CU42" s="9">
        <v>11959359.589999996</v>
      </c>
      <c r="CV42" s="14">
        <v>0.16697075141612064</v>
      </c>
      <c r="CW42" s="10">
        <v>1682</v>
      </c>
      <c r="CX42" s="14">
        <v>0.12497213760309087</v>
      </c>
      <c r="CY42" s="56"/>
      <c r="CZ42" s="55"/>
      <c r="DA42" s="56"/>
    </row>
    <row r="43" spans="1:105" ht="12.75">
      <c r="A43" s="8" t="s">
        <v>37</v>
      </c>
      <c r="B43" s="8"/>
      <c r="C43" s="8"/>
      <c r="D43" s="9">
        <v>1507737.53</v>
      </c>
      <c r="E43" s="14">
        <f t="shared" si="0"/>
        <v>0.057090619512045436</v>
      </c>
      <c r="F43" s="10">
        <v>217</v>
      </c>
      <c r="G43" s="14">
        <f t="shared" si="1"/>
        <v>0.061109546606589696</v>
      </c>
      <c r="H43" s="14"/>
      <c r="I43" s="9">
        <v>1354702.55</v>
      </c>
      <c r="J43" s="14">
        <f t="shared" si="2"/>
        <v>0.05567713661995667</v>
      </c>
      <c r="K43" s="10">
        <v>205</v>
      </c>
      <c r="L43" s="14">
        <f t="shared" si="3"/>
        <v>0.05952380952380952</v>
      </c>
      <c r="M43" s="56"/>
      <c r="N43" s="55"/>
      <c r="O43" s="56"/>
      <c r="P43" s="9">
        <v>2167345.96</v>
      </c>
      <c r="Q43" s="14">
        <v>0.0571143334767667</v>
      </c>
      <c r="R43" s="10">
        <v>342</v>
      </c>
      <c r="S43" s="14">
        <v>0.0607891930323498</v>
      </c>
      <c r="T43" s="56"/>
      <c r="U43" s="55"/>
      <c r="V43" s="56"/>
      <c r="W43" s="9">
        <v>2571224.58</v>
      </c>
      <c r="X43" s="14">
        <v>0.05512562177789707</v>
      </c>
      <c r="Y43" s="10">
        <v>412</v>
      </c>
      <c r="Z43" s="14">
        <v>0.05830738748938579</v>
      </c>
      <c r="AA43" s="56"/>
      <c r="AB43" s="55"/>
      <c r="AC43" s="56"/>
      <c r="AD43" s="9">
        <v>2685842.43</v>
      </c>
      <c r="AE43" s="14">
        <v>0.05361856679653841</v>
      </c>
      <c r="AF43" s="10">
        <v>452</v>
      </c>
      <c r="AG43" s="14">
        <v>0.05699873896595208</v>
      </c>
      <c r="AH43" s="56"/>
      <c r="AI43" s="55"/>
      <c r="AJ43" s="56"/>
      <c r="AK43" s="9">
        <v>2923862.13</v>
      </c>
      <c r="AL43" s="14">
        <v>0.05215696917580971</v>
      </c>
      <c r="AM43" s="10">
        <v>500</v>
      </c>
      <c r="AN43" s="14">
        <v>0.05533421868083223</v>
      </c>
      <c r="AO43" s="56"/>
      <c r="AP43" s="55"/>
      <c r="AQ43" s="56"/>
      <c r="AR43" s="9">
        <v>3313642.09</v>
      </c>
      <c r="AS43" s="14">
        <v>0.049034092462246485</v>
      </c>
      <c r="AT43" s="10">
        <v>569</v>
      </c>
      <c r="AU43" s="14">
        <v>0.051446654611211576</v>
      </c>
      <c r="AV43" s="56"/>
      <c r="AW43" s="55"/>
      <c r="AX43" s="56"/>
      <c r="AY43" s="9">
        <v>3643195.77</v>
      </c>
      <c r="AZ43" s="14">
        <v>0.05004679255529764</v>
      </c>
      <c r="BA43" s="10">
        <v>633</v>
      </c>
      <c r="BB43" s="14">
        <v>0.052064484290179305</v>
      </c>
      <c r="BC43" s="56"/>
      <c r="BD43" s="55"/>
      <c r="BE43" s="9">
        <v>3154441.37</v>
      </c>
      <c r="BF43" s="14">
        <v>0.04887106879284885</v>
      </c>
      <c r="BG43" s="10">
        <v>586</v>
      </c>
      <c r="BH43" s="14">
        <v>0.05287854177946219</v>
      </c>
      <c r="BI43" s="56"/>
      <c r="BJ43" s="55"/>
      <c r="BK43" s="56"/>
      <c r="BL43" s="9">
        <v>2613803.5</v>
      </c>
      <c r="BM43" s="14">
        <v>0.04673864891283988</v>
      </c>
      <c r="BN43" s="10">
        <v>528</v>
      </c>
      <c r="BO43" s="14">
        <v>0.05179517363154797</v>
      </c>
      <c r="BP43" s="56"/>
      <c r="BQ43" s="55"/>
      <c r="BR43" s="56"/>
      <c r="BS43" s="9">
        <v>2629035.22</v>
      </c>
      <c r="BT43" s="14">
        <v>0.04896030788701572</v>
      </c>
      <c r="BU43" s="10">
        <v>536</v>
      </c>
      <c r="BV43" s="14">
        <v>0.05316405475104146</v>
      </c>
      <c r="BW43" s="56"/>
      <c r="BX43" s="55"/>
      <c r="BY43" s="56"/>
      <c r="BZ43" s="9">
        <v>2609955.2</v>
      </c>
      <c r="CA43" s="14">
        <v>0.049258659798340966</v>
      </c>
      <c r="CB43" s="10">
        <v>528</v>
      </c>
      <c r="CC43" s="14">
        <v>0.05344129554655871</v>
      </c>
      <c r="CD43" s="56"/>
      <c r="CE43" s="55"/>
      <c r="CF43" s="56"/>
      <c r="CG43" s="9">
        <v>2367308.23</v>
      </c>
      <c r="CH43" s="14">
        <v>0.0459836878938233</v>
      </c>
      <c r="CI43" s="10">
        <v>491</v>
      </c>
      <c r="CJ43" s="14">
        <v>0.052178533475026566</v>
      </c>
      <c r="CK43" s="56"/>
      <c r="CL43" s="55"/>
      <c r="CM43" s="56"/>
      <c r="CN43" s="9">
        <v>2120679.16</v>
      </c>
      <c r="CO43" s="14">
        <v>0.04646000307155189</v>
      </c>
      <c r="CP43" s="10">
        <v>446</v>
      </c>
      <c r="CQ43" s="14">
        <v>0.052675091531829456</v>
      </c>
      <c r="CR43" s="56"/>
      <c r="CS43" s="55"/>
      <c r="CT43" s="56"/>
      <c r="CU43" s="9">
        <v>3296455.51</v>
      </c>
      <c r="CV43" s="14">
        <v>0.0460235056377723</v>
      </c>
      <c r="CW43" s="10">
        <v>672</v>
      </c>
      <c r="CX43" s="14">
        <v>0.04992941526116353</v>
      </c>
      <c r="CY43" s="56"/>
      <c r="CZ43" s="55"/>
      <c r="DA43" s="56"/>
    </row>
    <row r="44" spans="1:105" ht="12.75">
      <c r="A44" s="8" t="s">
        <v>38</v>
      </c>
      <c r="B44" s="8"/>
      <c r="C44" s="8"/>
      <c r="D44" s="9">
        <v>447392.31</v>
      </c>
      <c r="E44" s="14">
        <f t="shared" si="0"/>
        <v>0.01694055074879318</v>
      </c>
      <c r="F44" s="10">
        <v>28</v>
      </c>
      <c r="G44" s="14">
        <f t="shared" si="1"/>
        <v>0.007885102787947058</v>
      </c>
      <c r="H44" s="14"/>
      <c r="I44" s="9">
        <v>427147.12</v>
      </c>
      <c r="J44" s="14">
        <f t="shared" si="2"/>
        <v>0.01755538775435318</v>
      </c>
      <c r="K44" s="10">
        <v>28</v>
      </c>
      <c r="L44" s="14">
        <f t="shared" si="3"/>
        <v>0.008130081300813009</v>
      </c>
      <c r="M44" s="56"/>
      <c r="N44" s="55"/>
      <c r="O44" s="56"/>
      <c r="P44" s="9">
        <v>589606.91</v>
      </c>
      <c r="Q44" s="14">
        <v>0.01553743901501815</v>
      </c>
      <c r="R44" s="10">
        <v>45</v>
      </c>
      <c r="S44" s="14">
        <v>0.007998578030572343</v>
      </c>
      <c r="T44" s="56"/>
      <c r="U44" s="55"/>
      <c r="V44" s="56"/>
      <c r="W44" s="9">
        <v>735669.42</v>
      </c>
      <c r="X44" s="14">
        <v>0.015772342297880847</v>
      </c>
      <c r="Y44" s="10">
        <v>61</v>
      </c>
      <c r="Z44" s="14">
        <v>0.00863288989527314</v>
      </c>
      <c r="AA44" s="56"/>
      <c r="AB44" s="55"/>
      <c r="AC44" s="56"/>
      <c r="AD44" s="9">
        <v>761204.42</v>
      </c>
      <c r="AE44" s="14">
        <v>0.015196233994855124</v>
      </c>
      <c r="AF44" s="10">
        <v>71</v>
      </c>
      <c r="AG44" s="14">
        <v>0.008953341740226986</v>
      </c>
      <c r="AH44" s="56"/>
      <c r="AI44" s="55"/>
      <c r="AJ44" s="56"/>
      <c r="AK44" s="9">
        <v>755504.62</v>
      </c>
      <c r="AL44" s="14">
        <v>0.013476979907230381</v>
      </c>
      <c r="AM44" s="10">
        <v>74</v>
      </c>
      <c r="AN44" s="14">
        <v>0.00818946436476317</v>
      </c>
      <c r="AO44" s="56"/>
      <c r="AP44" s="55"/>
      <c r="AQ44" s="56"/>
      <c r="AR44" s="9">
        <v>970991.18</v>
      </c>
      <c r="AS44" s="14">
        <v>0.014368380774685848</v>
      </c>
      <c r="AT44" s="10">
        <v>94</v>
      </c>
      <c r="AU44" s="14">
        <v>0.008499095840867993</v>
      </c>
      <c r="AV44" s="56"/>
      <c r="AW44" s="55"/>
      <c r="AX44" s="56"/>
      <c r="AY44" s="9">
        <v>1152880.46</v>
      </c>
      <c r="AZ44" s="14">
        <v>0.015837186049070355</v>
      </c>
      <c r="BA44" s="10">
        <v>121</v>
      </c>
      <c r="BB44" s="14">
        <v>0.009952294785326533</v>
      </c>
      <c r="BC44" s="56"/>
      <c r="BD44" s="55"/>
      <c r="BE44" s="9">
        <v>1085839.66</v>
      </c>
      <c r="BF44" s="14">
        <v>0.016822675871088894</v>
      </c>
      <c r="BG44" s="10">
        <v>123</v>
      </c>
      <c r="BH44" s="14">
        <v>0.011099079588521927</v>
      </c>
      <c r="BI44" s="56"/>
      <c r="BJ44" s="55"/>
      <c r="BK44" s="56"/>
      <c r="BL44" s="9">
        <v>926703.76</v>
      </c>
      <c r="BM44" s="14">
        <v>0.01657082549810978</v>
      </c>
      <c r="BN44" s="10">
        <v>118</v>
      </c>
      <c r="BO44" s="14">
        <v>0.011575436531292917</v>
      </c>
      <c r="BP44" s="56"/>
      <c r="BQ44" s="55"/>
      <c r="BR44" s="56"/>
      <c r="BS44" s="9">
        <v>929029.52</v>
      </c>
      <c r="BT44" s="14">
        <v>0.017301240770493137</v>
      </c>
      <c r="BU44" s="10">
        <v>119</v>
      </c>
      <c r="BV44" s="14">
        <v>0.011803213648085698</v>
      </c>
      <c r="BW44" s="56"/>
      <c r="BX44" s="55"/>
      <c r="BY44" s="56"/>
      <c r="BZ44" s="9">
        <v>1143523.12</v>
      </c>
      <c r="CA44" s="14">
        <v>0.021582139164541023</v>
      </c>
      <c r="CB44" s="10">
        <v>126</v>
      </c>
      <c r="CC44" s="14">
        <v>0.012753036437246963</v>
      </c>
      <c r="CD44" s="56"/>
      <c r="CE44" s="55"/>
      <c r="CF44" s="56"/>
      <c r="CG44" s="9">
        <v>1226738.09</v>
      </c>
      <c r="CH44" s="14">
        <v>0.023828726966418256</v>
      </c>
      <c r="CI44" s="10">
        <v>126</v>
      </c>
      <c r="CJ44" s="14">
        <v>0.013390010626992561</v>
      </c>
      <c r="CK44" s="56"/>
      <c r="CL44" s="55"/>
      <c r="CM44" s="56"/>
      <c r="CN44" s="9">
        <v>1160566.84</v>
      </c>
      <c r="CO44" s="14">
        <v>0.025425788100422144</v>
      </c>
      <c r="CP44" s="10">
        <v>125</v>
      </c>
      <c r="CQ44" s="14">
        <v>0.014763198299279556</v>
      </c>
      <c r="CR44" s="56"/>
      <c r="CS44" s="55"/>
      <c r="CT44" s="56"/>
      <c r="CU44" s="9">
        <v>1930277.49</v>
      </c>
      <c r="CV44" s="14">
        <v>0.026949593790659095</v>
      </c>
      <c r="CW44" s="10">
        <v>179</v>
      </c>
      <c r="CX44" s="14">
        <v>0.013299650791292071</v>
      </c>
      <c r="CY44" s="56"/>
      <c r="CZ44" s="55"/>
      <c r="DA44" s="56"/>
    </row>
    <row r="45" spans="1:105" ht="12.75">
      <c r="A45" s="8" t="s">
        <v>39</v>
      </c>
      <c r="B45" s="8"/>
      <c r="C45" s="8"/>
      <c r="D45" s="9">
        <v>785105.29</v>
      </c>
      <c r="E45" s="14">
        <f t="shared" si="0"/>
        <v>0.029728083632888074</v>
      </c>
      <c r="F45" s="10">
        <v>120</v>
      </c>
      <c r="G45" s="14">
        <f t="shared" si="1"/>
        <v>0.03379329766263024</v>
      </c>
      <c r="H45" s="14"/>
      <c r="I45" s="9">
        <v>736099.88</v>
      </c>
      <c r="J45" s="14">
        <f t="shared" si="2"/>
        <v>0.030253086616463302</v>
      </c>
      <c r="K45" s="10">
        <v>117</v>
      </c>
      <c r="L45" s="14">
        <f t="shared" si="3"/>
        <v>0.03397212543554007</v>
      </c>
      <c r="M45" s="56"/>
      <c r="N45" s="55"/>
      <c r="O45" s="56"/>
      <c r="P45" s="9">
        <v>1241769.91</v>
      </c>
      <c r="Q45" s="14">
        <v>0.03272336860385432</v>
      </c>
      <c r="R45" s="10">
        <v>212</v>
      </c>
      <c r="S45" s="14">
        <v>0.03768218983291859</v>
      </c>
      <c r="T45" s="56"/>
      <c r="U45" s="55"/>
      <c r="V45" s="56"/>
      <c r="W45" s="9">
        <v>1503780.45</v>
      </c>
      <c r="X45" s="14">
        <v>0.032240214630997285</v>
      </c>
      <c r="Y45" s="10">
        <v>254</v>
      </c>
      <c r="Z45" s="14">
        <v>0.035946787432776676</v>
      </c>
      <c r="AA45" s="56"/>
      <c r="AB45" s="55"/>
      <c r="AC45" s="56"/>
      <c r="AD45" s="9">
        <v>1524375.42</v>
      </c>
      <c r="AE45" s="14">
        <v>0.03043172762754787</v>
      </c>
      <c r="AF45" s="10">
        <v>277</v>
      </c>
      <c r="AG45" s="14">
        <v>0.034930643127364436</v>
      </c>
      <c r="AH45" s="56"/>
      <c r="AI45" s="55"/>
      <c r="AJ45" s="56"/>
      <c r="AK45" s="9">
        <v>1603983.59</v>
      </c>
      <c r="AL45" s="14">
        <v>0.028612471772783154</v>
      </c>
      <c r="AM45" s="10">
        <v>296</v>
      </c>
      <c r="AN45" s="14">
        <v>0.03275785745905268</v>
      </c>
      <c r="AO45" s="56"/>
      <c r="AP45" s="55"/>
      <c r="AQ45" s="56"/>
      <c r="AR45" s="9">
        <v>1761072.21</v>
      </c>
      <c r="AS45" s="14">
        <v>0.026059717746352275</v>
      </c>
      <c r="AT45" s="10">
        <v>326</v>
      </c>
      <c r="AU45" s="14">
        <v>0.029475587703435804</v>
      </c>
      <c r="AV45" s="56"/>
      <c r="AW45" s="55"/>
      <c r="AX45" s="56"/>
      <c r="AY45" s="9">
        <v>1931033.96</v>
      </c>
      <c r="AZ45" s="14">
        <v>0.026526726015976578</v>
      </c>
      <c r="BA45" s="10">
        <v>338</v>
      </c>
      <c r="BB45" s="14">
        <v>0.027800625102812962</v>
      </c>
      <c r="BC45" s="56"/>
      <c r="BD45" s="55"/>
      <c r="BE45" s="9">
        <v>1739322.6</v>
      </c>
      <c r="BF45" s="14">
        <v>0.026946943837969223</v>
      </c>
      <c r="BG45" s="10">
        <v>323</v>
      </c>
      <c r="BH45" s="14">
        <v>0.029146363472297418</v>
      </c>
      <c r="BI45" s="56"/>
      <c r="BJ45" s="55"/>
      <c r="BK45" s="56"/>
      <c r="BL45" s="9">
        <v>1571155.85</v>
      </c>
      <c r="BM45" s="14">
        <v>0.028094576222162257</v>
      </c>
      <c r="BN45" s="10">
        <v>302</v>
      </c>
      <c r="BO45" s="14">
        <v>0.029625269766529332</v>
      </c>
      <c r="BP45" s="56"/>
      <c r="BQ45" s="55"/>
      <c r="BR45" s="56"/>
      <c r="BS45" s="9">
        <v>1494055.63</v>
      </c>
      <c r="BT45" s="14">
        <v>0.027823675806491917</v>
      </c>
      <c r="BU45" s="10">
        <v>295</v>
      </c>
      <c r="BV45" s="14">
        <v>0.029260067446935132</v>
      </c>
      <c r="BW45" s="56"/>
      <c r="BX45" s="55"/>
      <c r="BY45" s="56"/>
      <c r="BZ45" s="9">
        <v>1650684.51</v>
      </c>
      <c r="CA45" s="14">
        <v>0.031153985598098087</v>
      </c>
      <c r="CB45" s="10">
        <v>303</v>
      </c>
      <c r="CC45" s="14">
        <v>0.030668016194331984</v>
      </c>
      <c r="CD45" s="56"/>
      <c r="CE45" s="55"/>
      <c r="CF45" s="56"/>
      <c r="CG45" s="9">
        <v>1748552.98</v>
      </c>
      <c r="CH45" s="14">
        <v>0.03396470027822893</v>
      </c>
      <c r="CI45" s="10">
        <v>296</v>
      </c>
      <c r="CJ45" s="14">
        <v>0.031455897980871415</v>
      </c>
      <c r="CK45" s="56"/>
      <c r="CL45" s="55"/>
      <c r="CM45" s="56"/>
      <c r="CN45" s="9">
        <v>1670635.24</v>
      </c>
      <c r="CO45" s="14">
        <v>0.03660040606135009</v>
      </c>
      <c r="CP45" s="10">
        <v>284</v>
      </c>
      <c r="CQ45" s="14">
        <v>0.03354198653596315</v>
      </c>
      <c r="CR45" s="56"/>
      <c r="CS45" s="55"/>
      <c r="CT45" s="56"/>
      <c r="CU45" s="9">
        <v>2647057.77</v>
      </c>
      <c r="CV45" s="14">
        <v>0.03695693080993655</v>
      </c>
      <c r="CW45" s="10">
        <v>426</v>
      </c>
      <c r="CX45" s="14">
        <v>0.03165168288877331</v>
      </c>
      <c r="CY45" s="56"/>
      <c r="CZ45" s="55"/>
      <c r="DA45" s="56"/>
    </row>
    <row r="46" spans="1:105" ht="12.75">
      <c r="A46" s="8" t="s">
        <v>40</v>
      </c>
      <c r="B46" s="8"/>
      <c r="C46" s="8"/>
      <c r="D46" s="9">
        <v>6130902.950000009</v>
      </c>
      <c r="E46" s="14">
        <f t="shared" si="0"/>
        <v>0.23214720110053066</v>
      </c>
      <c r="F46" s="10">
        <v>892</v>
      </c>
      <c r="G46" s="14">
        <f t="shared" si="1"/>
        <v>0.2511968459588848</v>
      </c>
      <c r="H46" s="14"/>
      <c r="I46" s="9">
        <v>5726081.319999993</v>
      </c>
      <c r="J46" s="14">
        <f t="shared" si="2"/>
        <v>0.2353371313508057</v>
      </c>
      <c r="K46" s="10">
        <v>876</v>
      </c>
      <c r="L46" s="14">
        <f t="shared" si="3"/>
        <v>0.25435540069686413</v>
      </c>
      <c r="M46" s="56"/>
      <c r="N46" s="55"/>
      <c r="O46" s="56"/>
      <c r="P46" s="9">
        <v>8777744.409999995</v>
      </c>
      <c r="Q46" s="14">
        <v>0.23131287328330558</v>
      </c>
      <c r="R46" s="10">
        <v>1371</v>
      </c>
      <c r="S46" s="14">
        <v>0.2436900106647707</v>
      </c>
      <c r="T46" s="56"/>
      <c r="U46" s="55"/>
      <c r="V46" s="56"/>
      <c r="W46" s="9">
        <v>11302100.860000027</v>
      </c>
      <c r="X46" s="14">
        <v>0.24231074257387772</v>
      </c>
      <c r="Y46" s="10">
        <v>1781</v>
      </c>
      <c r="Z46" s="14">
        <v>0.252052080384942</v>
      </c>
      <c r="AA46" s="56"/>
      <c r="AB46" s="55"/>
      <c r="AC46" s="56"/>
      <c r="AD46" s="9">
        <v>12193272.80999999</v>
      </c>
      <c r="AE46" s="14">
        <v>0.24341927334560742</v>
      </c>
      <c r="AF46" s="10">
        <v>2004</v>
      </c>
      <c r="AG46" s="14">
        <v>0.25271122320302647</v>
      </c>
      <c r="AH46" s="56"/>
      <c r="AI46" s="55"/>
      <c r="AJ46" s="56"/>
      <c r="AK46" s="9">
        <v>14463088.13999998</v>
      </c>
      <c r="AL46" s="14">
        <v>0.2579980890908143</v>
      </c>
      <c r="AM46" s="10">
        <v>2367</v>
      </c>
      <c r="AN46" s="14">
        <v>0.26195219123505975</v>
      </c>
      <c r="AO46" s="56"/>
      <c r="AP46" s="55"/>
      <c r="AQ46" s="56"/>
      <c r="AR46" s="9">
        <v>18559691.319999985</v>
      </c>
      <c r="AS46" s="14">
        <v>0.27463968513739906</v>
      </c>
      <c r="AT46" s="10">
        <v>3039</v>
      </c>
      <c r="AU46" s="14">
        <v>0.2747739602169982</v>
      </c>
      <c r="AV46" s="56"/>
      <c r="AW46" s="55"/>
      <c r="AX46" s="56"/>
      <c r="AY46" s="9">
        <v>20957869.009999987</v>
      </c>
      <c r="AZ46" s="14">
        <v>0.287899467654622</v>
      </c>
      <c r="BA46" s="10">
        <v>3439</v>
      </c>
      <c r="BB46" s="14">
        <v>0.2828590228656029</v>
      </c>
      <c r="BC46" s="56"/>
      <c r="BD46" s="55"/>
      <c r="BE46" s="9">
        <v>18566302.630000006</v>
      </c>
      <c r="BF46" s="14">
        <v>0.28764365750744025</v>
      </c>
      <c r="BG46" s="10">
        <v>3219</v>
      </c>
      <c r="BH46" s="14">
        <v>0.29047103410936653</v>
      </c>
      <c r="BI46" s="56"/>
      <c r="BJ46" s="55"/>
      <c r="BK46" s="56"/>
      <c r="BL46" s="9">
        <v>16233523.43000001</v>
      </c>
      <c r="BM46" s="14">
        <v>0.290279262466796</v>
      </c>
      <c r="BN46" s="10">
        <v>3004</v>
      </c>
      <c r="BO46" s="14">
        <v>0.2946831469491858</v>
      </c>
      <c r="BP46" s="56"/>
      <c r="BQ46" s="55"/>
      <c r="BR46" s="56"/>
      <c r="BS46" s="9">
        <v>15001898.949999994</v>
      </c>
      <c r="BT46" s="14">
        <v>0.2793791372189745</v>
      </c>
      <c r="BU46" s="10">
        <v>2909</v>
      </c>
      <c r="BV46" s="14">
        <v>0.2885340210275739</v>
      </c>
      <c r="BW46" s="56"/>
      <c r="BX46" s="55"/>
      <c r="BY46" s="56"/>
      <c r="BZ46" s="9">
        <v>13887233.260000017</v>
      </c>
      <c r="CA46" s="14">
        <v>0.2620989428073504</v>
      </c>
      <c r="CB46" s="10">
        <v>2789</v>
      </c>
      <c r="CC46" s="14">
        <v>0.28228744939271255</v>
      </c>
      <c r="CD46" s="56"/>
      <c r="CE46" s="55"/>
      <c r="CF46" s="56"/>
      <c r="CG46" s="9">
        <v>12636509.90000002</v>
      </c>
      <c r="CH46" s="14">
        <v>0.24545740176335595</v>
      </c>
      <c r="CI46" s="10">
        <v>2613</v>
      </c>
      <c r="CJ46" s="14">
        <v>0.2776833156216791</v>
      </c>
      <c r="CK46" s="56"/>
      <c r="CL46" s="55"/>
      <c r="CM46" s="56"/>
      <c r="CN46" s="9">
        <v>10502788.41</v>
      </c>
      <c r="CO46" s="14">
        <v>0.23009590087567008</v>
      </c>
      <c r="CP46" s="10">
        <v>2304</v>
      </c>
      <c r="CQ46" s="14">
        <v>0.27211527105232075</v>
      </c>
      <c r="CR46" s="56"/>
      <c r="CS46" s="55"/>
      <c r="CT46" s="56"/>
      <c r="CU46" s="9">
        <v>17283065.779999975</v>
      </c>
      <c r="CV46" s="14">
        <v>0.24129774327329498</v>
      </c>
      <c r="CW46" s="10">
        <v>4061</v>
      </c>
      <c r="CX46" s="14">
        <v>0.3017311835946207</v>
      </c>
      <c r="CY46" s="56"/>
      <c r="CZ46" s="55"/>
      <c r="DA46" s="56"/>
    </row>
    <row r="47" spans="1:105" ht="12.75">
      <c r="A47" s="8" t="s">
        <v>41</v>
      </c>
      <c r="B47" s="8"/>
      <c r="C47" s="8"/>
      <c r="D47" s="9">
        <v>0</v>
      </c>
      <c r="E47" s="14">
        <f t="shared" si="0"/>
        <v>0</v>
      </c>
      <c r="F47" s="10">
        <v>0</v>
      </c>
      <c r="G47" s="14">
        <f t="shared" si="1"/>
        <v>0</v>
      </c>
      <c r="H47" s="14"/>
      <c r="I47" s="9">
        <v>0</v>
      </c>
      <c r="J47" s="14">
        <f t="shared" si="2"/>
        <v>0</v>
      </c>
      <c r="K47" s="10">
        <v>0</v>
      </c>
      <c r="L47" s="14">
        <f t="shared" si="3"/>
        <v>0</v>
      </c>
      <c r="M47" s="56"/>
      <c r="N47" s="55"/>
      <c r="O47" s="56"/>
      <c r="P47" s="9">
        <v>22564.54</v>
      </c>
      <c r="Q47" s="14">
        <v>0.0005946252633842734</v>
      </c>
      <c r="R47" s="10">
        <v>2</v>
      </c>
      <c r="S47" s="14">
        <v>0.00035549235691432633</v>
      </c>
      <c r="T47" s="56"/>
      <c r="U47" s="55"/>
      <c r="V47" s="56"/>
      <c r="W47" s="9">
        <v>21836.36</v>
      </c>
      <c r="X47" s="14">
        <v>0.0004681593866709227</v>
      </c>
      <c r="Y47" s="10">
        <v>2</v>
      </c>
      <c r="Z47" s="14">
        <v>0.0002830455703368242</v>
      </c>
      <c r="AA47" s="56"/>
      <c r="AB47" s="55"/>
      <c r="AC47" s="56"/>
      <c r="AD47" s="9">
        <v>20635.02</v>
      </c>
      <c r="AE47" s="14">
        <v>0.0004119453121521752</v>
      </c>
      <c r="AF47" s="10">
        <v>2</v>
      </c>
      <c r="AG47" s="14">
        <v>0.00025220680958385876</v>
      </c>
      <c r="AH47" s="56"/>
      <c r="AI47" s="55"/>
      <c r="AJ47" s="56"/>
      <c r="AK47" s="9">
        <v>29555</v>
      </c>
      <c r="AL47" s="14">
        <v>0.0005272133758205132</v>
      </c>
      <c r="AM47" s="10">
        <v>3</v>
      </c>
      <c r="AN47" s="14">
        <v>0.00033200531208499334</v>
      </c>
      <c r="AO47" s="56"/>
      <c r="AP47" s="55"/>
      <c r="AQ47" s="56"/>
      <c r="AR47" s="9">
        <v>31119.05</v>
      </c>
      <c r="AS47" s="14">
        <v>0.0004604885903767814</v>
      </c>
      <c r="AT47" s="10">
        <v>4</v>
      </c>
      <c r="AU47" s="14">
        <v>0.0003616636528028933</v>
      </c>
      <c r="AV47" s="56"/>
      <c r="AW47" s="55"/>
      <c r="AX47" s="56"/>
      <c r="AY47" s="9">
        <v>36006.25</v>
      </c>
      <c r="AZ47" s="14">
        <v>0.0004946199540751514</v>
      </c>
      <c r="BA47" s="10">
        <v>4</v>
      </c>
      <c r="BB47" s="14">
        <v>0.0003290014805066623</v>
      </c>
      <c r="BC47" s="56"/>
      <c r="BD47" s="55"/>
      <c r="BE47" s="9">
        <v>0</v>
      </c>
      <c r="BF47" s="14">
        <v>0</v>
      </c>
      <c r="BG47" s="10">
        <v>0</v>
      </c>
      <c r="BH47" s="14">
        <v>0</v>
      </c>
      <c r="BI47" s="56"/>
      <c r="BJ47" s="55"/>
      <c r="BK47" s="56"/>
      <c r="BL47" s="9">
        <v>0</v>
      </c>
      <c r="BM47" s="14">
        <v>0</v>
      </c>
      <c r="BN47" s="10">
        <v>0</v>
      </c>
      <c r="BO47" s="14">
        <v>0</v>
      </c>
      <c r="BP47" s="56"/>
      <c r="BQ47" s="55"/>
      <c r="BR47" s="56"/>
      <c r="BS47" s="9">
        <v>0</v>
      </c>
      <c r="BT47" s="14">
        <v>0</v>
      </c>
      <c r="BU47" s="10">
        <v>0</v>
      </c>
      <c r="BV47" s="14">
        <v>0</v>
      </c>
      <c r="BW47" s="56"/>
      <c r="BX47" s="55"/>
      <c r="BY47" s="56"/>
      <c r="BZ47" s="9">
        <v>0</v>
      </c>
      <c r="CA47" s="14">
        <v>0</v>
      </c>
      <c r="CB47" s="10">
        <v>0</v>
      </c>
      <c r="CC47" s="14">
        <v>0</v>
      </c>
      <c r="CD47" s="56"/>
      <c r="CE47" s="55"/>
      <c r="CF47" s="56"/>
      <c r="CG47" s="9">
        <v>0</v>
      </c>
      <c r="CH47" s="14">
        <v>0</v>
      </c>
      <c r="CI47" s="10">
        <v>0</v>
      </c>
      <c r="CJ47" s="14">
        <v>0</v>
      </c>
      <c r="CK47" s="56"/>
      <c r="CL47" s="55"/>
      <c r="CM47" s="56"/>
      <c r="CN47" s="9">
        <v>0</v>
      </c>
      <c r="CO47" s="14">
        <v>0</v>
      </c>
      <c r="CP47" s="10">
        <v>0</v>
      </c>
      <c r="CQ47" s="14">
        <v>0</v>
      </c>
      <c r="CR47" s="56"/>
      <c r="CS47" s="55"/>
      <c r="CT47" s="56"/>
      <c r="CU47" s="9">
        <v>0</v>
      </c>
      <c r="CV47" s="14">
        <v>0</v>
      </c>
      <c r="CW47" s="10">
        <v>0</v>
      </c>
      <c r="CX47" s="14">
        <v>0</v>
      </c>
      <c r="CY47" s="56"/>
      <c r="CZ47" s="55"/>
      <c r="DA47" s="56"/>
    </row>
    <row r="48" spans="1:105" ht="12.75">
      <c r="A48" s="8" t="s">
        <v>105</v>
      </c>
      <c r="B48" s="8"/>
      <c r="C48" s="8"/>
      <c r="D48" s="9">
        <v>1025566.86</v>
      </c>
      <c r="E48" s="14">
        <f t="shared" si="0"/>
        <v>0.03883318298007954</v>
      </c>
      <c r="F48" s="10">
        <v>82</v>
      </c>
      <c r="G48" s="14">
        <f t="shared" si="1"/>
        <v>0.023092086736130668</v>
      </c>
      <c r="H48" s="14"/>
      <c r="I48" s="9">
        <v>932375.83</v>
      </c>
      <c r="J48" s="14">
        <f t="shared" si="2"/>
        <v>0.038319863255631643</v>
      </c>
      <c r="K48" s="10">
        <v>80</v>
      </c>
      <c r="L48" s="14">
        <f t="shared" si="3"/>
        <v>0.023228803716608595</v>
      </c>
      <c r="M48" s="56"/>
      <c r="N48" s="55"/>
      <c r="O48" s="56"/>
      <c r="P48" s="9">
        <v>1253163.35</v>
      </c>
      <c r="Q48" s="14">
        <v>0.03302361080958301</v>
      </c>
      <c r="R48" s="10">
        <v>137</v>
      </c>
      <c r="S48" s="14">
        <v>0.024351226448631354</v>
      </c>
      <c r="T48" s="56"/>
      <c r="U48" s="55"/>
      <c r="V48" s="56"/>
      <c r="W48" s="9">
        <v>1774103.3</v>
      </c>
      <c r="X48" s="14">
        <v>0.03803578585528265</v>
      </c>
      <c r="Y48" s="10">
        <v>261</v>
      </c>
      <c r="Z48" s="14">
        <v>0.036937446928955564</v>
      </c>
      <c r="AA48" s="56"/>
      <c r="AB48" s="55"/>
      <c r="AC48" s="56"/>
      <c r="AD48" s="9">
        <v>1798984.12</v>
      </c>
      <c r="AE48" s="14">
        <v>0.0359138529970025</v>
      </c>
      <c r="AF48" s="10">
        <v>275</v>
      </c>
      <c r="AG48" s="14">
        <v>0.03467843631778058</v>
      </c>
      <c r="AH48" s="56"/>
      <c r="AI48" s="55"/>
      <c r="AJ48" s="56"/>
      <c r="AK48" s="9">
        <v>1913651.97</v>
      </c>
      <c r="AL48" s="14">
        <v>0.034136454584648104</v>
      </c>
      <c r="AM48" s="10">
        <v>391</v>
      </c>
      <c r="AN48" s="14">
        <v>0.0432713590084108</v>
      </c>
      <c r="AO48" s="56"/>
      <c r="AP48" s="55"/>
      <c r="AQ48" s="56"/>
      <c r="AR48" s="9">
        <v>2066656.94</v>
      </c>
      <c r="AS48" s="14">
        <v>0.030581651467284258</v>
      </c>
      <c r="AT48" s="10">
        <v>483</v>
      </c>
      <c r="AU48" s="14">
        <v>0.043670886075949364</v>
      </c>
      <c r="AV48" s="56"/>
      <c r="AW48" s="55"/>
      <c r="AX48" s="56"/>
      <c r="AY48" s="9">
        <v>1839730.4</v>
      </c>
      <c r="AZ48" s="14">
        <v>0.02527248369265503</v>
      </c>
      <c r="BA48" s="10">
        <v>557</v>
      </c>
      <c r="BB48" s="14">
        <v>0.04581345616055272</v>
      </c>
      <c r="BC48" s="56"/>
      <c r="BD48" s="55"/>
      <c r="BE48" s="9">
        <v>1670030.63</v>
      </c>
      <c r="BF48" s="14">
        <v>0.0258734185333407</v>
      </c>
      <c r="BG48" s="10">
        <v>227</v>
      </c>
      <c r="BH48" s="14">
        <v>0.02048366720808518</v>
      </c>
      <c r="BI48" s="56"/>
      <c r="BJ48" s="55"/>
      <c r="BK48" s="56"/>
      <c r="BL48" s="9">
        <v>1310737.52</v>
      </c>
      <c r="BM48" s="14">
        <v>0.023437913662663002</v>
      </c>
      <c r="BN48" s="10">
        <v>190</v>
      </c>
      <c r="BO48" s="14">
        <v>0.01863841475377673</v>
      </c>
      <c r="BP48" s="56"/>
      <c r="BQ48" s="55"/>
      <c r="BR48" s="56"/>
      <c r="BS48" s="9">
        <v>1463608.75</v>
      </c>
      <c r="BT48" s="14">
        <v>0.027256666050343024</v>
      </c>
      <c r="BU48" s="10">
        <v>213</v>
      </c>
      <c r="BV48" s="14">
        <v>0.02112676056338028</v>
      </c>
      <c r="BW48" s="56"/>
      <c r="BX48" s="55"/>
      <c r="BY48" s="56"/>
      <c r="BZ48" s="9">
        <v>1383570.33</v>
      </c>
      <c r="CA48" s="14">
        <v>0.026112639861614616</v>
      </c>
      <c r="CB48" s="10">
        <v>201</v>
      </c>
      <c r="CC48" s="14">
        <v>0.02034412955465587</v>
      </c>
      <c r="CD48" s="56"/>
      <c r="CE48" s="55"/>
      <c r="CF48" s="56"/>
      <c r="CG48" s="9">
        <v>1237441.26</v>
      </c>
      <c r="CH48" s="14">
        <v>0.023868120357349577</v>
      </c>
      <c r="CI48" s="10">
        <v>187</v>
      </c>
      <c r="CJ48" s="14">
        <v>0.019766206163655684</v>
      </c>
      <c r="CK48" s="56"/>
      <c r="CL48" s="55"/>
      <c r="CM48" s="56"/>
      <c r="CN48" s="9">
        <v>1079468.11</v>
      </c>
      <c r="CO48" s="14">
        <v>0.023649070850605372</v>
      </c>
      <c r="CP48" s="10">
        <v>167</v>
      </c>
      <c r="CQ48" s="14">
        <v>0.019723632927837485</v>
      </c>
      <c r="CR48" s="56"/>
      <c r="CS48" s="55"/>
      <c r="CT48" s="56"/>
      <c r="CU48" s="9">
        <v>1374156.08</v>
      </c>
      <c r="CV48" s="14">
        <v>0.01918529763353582</v>
      </c>
      <c r="CW48" s="10">
        <v>209</v>
      </c>
      <c r="CX48" s="14">
        <v>0.015528642544022588</v>
      </c>
      <c r="CY48" s="56"/>
      <c r="CZ48" s="55"/>
      <c r="DA48" s="56"/>
    </row>
    <row r="49" spans="1:105" ht="12.75">
      <c r="A49" s="8"/>
      <c r="B49" s="8"/>
      <c r="C49" s="8"/>
      <c r="D49" s="9"/>
      <c r="E49" s="8"/>
      <c r="F49" s="10"/>
      <c r="G49" s="8"/>
      <c r="H49" s="8"/>
      <c r="I49" s="9"/>
      <c r="J49" s="8"/>
      <c r="K49" s="10"/>
      <c r="L49" s="8"/>
      <c r="M49" s="54"/>
      <c r="N49" s="55"/>
      <c r="O49" s="54"/>
      <c r="P49" s="9"/>
      <c r="Q49" s="8"/>
      <c r="R49" s="10"/>
      <c r="S49" s="8"/>
      <c r="T49" s="54"/>
      <c r="U49" s="55"/>
      <c r="V49" s="54"/>
      <c r="W49" s="9"/>
      <c r="X49" s="8"/>
      <c r="Y49" s="10"/>
      <c r="Z49" s="8"/>
      <c r="AA49" s="54"/>
      <c r="AB49" s="55"/>
      <c r="AC49" s="54"/>
      <c r="AD49" s="9"/>
      <c r="AE49" s="8"/>
      <c r="AF49" s="10"/>
      <c r="AG49" s="8"/>
      <c r="AH49" s="54"/>
      <c r="AI49" s="55"/>
      <c r="AJ49" s="54"/>
      <c r="AK49" s="9"/>
      <c r="AL49" s="8"/>
      <c r="AM49" s="10"/>
      <c r="AN49" s="8"/>
      <c r="AO49" s="54"/>
      <c r="AP49" s="55"/>
      <c r="AQ49" s="54"/>
      <c r="AR49" s="9"/>
      <c r="AS49" s="8"/>
      <c r="AT49" s="10"/>
      <c r="AU49" s="8"/>
      <c r="AV49" s="54"/>
      <c r="AW49" s="55"/>
      <c r="AX49" s="54"/>
      <c r="AY49" s="9"/>
      <c r="AZ49" s="8"/>
      <c r="BA49" s="10"/>
      <c r="BB49" s="8"/>
      <c r="BC49" s="54"/>
      <c r="BD49" s="55"/>
      <c r="BE49" s="9"/>
      <c r="BF49" s="8"/>
      <c r="BG49" s="10"/>
      <c r="BH49" s="8"/>
      <c r="BI49" s="54"/>
      <c r="BJ49" s="55"/>
      <c r="BK49" s="54"/>
      <c r="BL49" s="9"/>
      <c r="BM49" s="8"/>
      <c r="BN49" s="10"/>
      <c r="BO49" s="8"/>
      <c r="BP49" s="54"/>
      <c r="BQ49" s="55"/>
      <c r="BR49" s="54"/>
      <c r="BS49" s="9"/>
      <c r="BT49" s="8"/>
      <c r="BU49" s="10"/>
      <c r="BV49" s="8"/>
      <c r="BW49" s="54"/>
      <c r="BX49" s="55"/>
      <c r="BY49" s="54"/>
      <c r="BZ49" s="9"/>
      <c r="CA49" s="8"/>
      <c r="CB49" s="10"/>
      <c r="CC49" s="8"/>
      <c r="CD49" s="54"/>
      <c r="CE49" s="55"/>
      <c r="CF49" s="54"/>
      <c r="CG49" s="9"/>
      <c r="CH49" s="8"/>
      <c r="CI49" s="10"/>
      <c r="CJ49" s="8"/>
      <c r="CK49" s="54"/>
      <c r="CL49" s="55"/>
      <c r="CM49" s="54"/>
      <c r="CN49" s="9"/>
      <c r="CO49" s="8"/>
      <c r="CP49" s="10"/>
      <c r="CQ49" s="8"/>
      <c r="CR49" s="54"/>
      <c r="CS49" s="55"/>
      <c r="CT49" s="54"/>
      <c r="CU49" s="9"/>
      <c r="CV49" s="8"/>
      <c r="CW49" s="10"/>
      <c r="CX49" s="8"/>
      <c r="CY49" s="54"/>
      <c r="CZ49" s="55"/>
      <c r="DA49" s="54"/>
    </row>
    <row r="50" spans="1:105" ht="13.5" thickBot="1">
      <c r="A50" s="8"/>
      <c r="B50" s="12"/>
      <c r="C50" s="12"/>
      <c r="D50" s="21">
        <f>SUM(D36:D48)</f>
        <v>26409549.290000007</v>
      </c>
      <c r="E50" s="23"/>
      <c r="F50" s="22">
        <f>SUM(F36:F48)</f>
        <v>3551</v>
      </c>
      <c r="G50" s="23"/>
      <c r="H50" s="23"/>
      <c r="I50" s="21">
        <v>24331397.630000003</v>
      </c>
      <c r="J50" s="23"/>
      <c r="K50" s="22">
        <v>3444</v>
      </c>
      <c r="L50" s="23"/>
      <c r="M50" s="57"/>
      <c r="N50" s="31"/>
      <c r="O50" s="57"/>
      <c r="P50" s="21">
        <v>37947496.330000006</v>
      </c>
      <c r="Q50" s="23"/>
      <c r="R50" s="22">
        <v>5626</v>
      </c>
      <c r="S50" s="23"/>
      <c r="T50" s="57"/>
      <c r="U50" s="31"/>
      <c r="V50" s="57"/>
      <c r="W50" s="21">
        <f>SUM(W36:W49)</f>
        <v>46643003.690000035</v>
      </c>
      <c r="X50" s="23"/>
      <c r="Y50" s="22">
        <f>SUM(Y36:Y49)</f>
        <v>7066</v>
      </c>
      <c r="Z50" s="23"/>
      <c r="AA50" s="57"/>
      <c r="AB50" s="31"/>
      <c r="AC50" s="57"/>
      <c r="AD50" s="21">
        <f>SUM(AD36:AD49)</f>
        <v>50091649.039999984</v>
      </c>
      <c r="AE50" s="23"/>
      <c r="AF50" s="22">
        <f>SUM(AF36:AF49)</f>
        <v>7930</v>
      </c>
      <c r="AG50" s="23"/>
      <c r="AH50" s="57"/>
      <c r="AI50" s="31"/>
      <c r="AJ50" s="57"/>
      <c r="AK50" s="21">
        <f>SUM(AK36:AK49)</f>
        <v>56058896.36999998</v>
      </c>
      <c r="AL50" s="23"/>
      <c r="AM50" s="22">
        <f>SUM(AM36:AM49)</f>
        <v>9036</v>
      </c>
      <c r="AN50" s="23"/>
      <c r="AO50" s="57"/>
      <c r="AP50" s="31"/>
      <c r="AQ50" s="57"/>
      <c r="AR50" s="21">
        <f>SUM(AR36:AR49)</f>
        <v>67578330.16999997</v>
      </c>
      <c r="AS50" s="23"/>
      <c r="AT50" s="22">
        <f>SUM(AT36:AT49)</f>
        <v>11060</v>
      </c>
      <c r="AU50" s="23"/>
      <c r="AV50" s="57"/>
      <c r="AW50" s="31"/>
      <c r="AX50" s="57"/>
      <c r="AY50" s="21">
        <f>SUM(AY36:AY49)</f>
        <v>72795789.38000003</v>
      </c>
      <c r="AZ50" s="23"/>
      <c r="BA50" s="22">
        <f>SUM(BA36:BA49)</f>
        <v>12158</v>
      </c>
      <c r="BB50" s="23"/>
      <c r="BC50" s="57"/>
      <c r="BD50" s="31"/>
      <c r="BE50" s="21">
        <f>SUM(BE36:BE49)</f>
        <v>64546191.59999999</v>
      </c>
      <c r="BF50" s="23"/>
      <c r="BG50" s="22">
        <f>SUM(BG36:BG49)</f>
        <v>11082</v>
      </c>
      <c r="BH50" s="23"/>
      <c r="BI50" s="57"/>
      <c r="BJ50" s="31"/>
      <c r="BK50" s="57"/>
      <c r="BL50" s="21">
        <f>SUM(BL36:BL49)</f>
        <v>55923813.82</v>
      </c>
      <c r="BM50" s="23"/>
      <c r="BN50" s="22">
        <f>SUM(BN36:BN49)</f>
        <v>10194</v>
      </c>
      <c r="BO50" s="23"/>
      <c r="BP50" s="57"/>
      <c r="BQ50" s="31"/>
      <c r="BR50" s="57"/>
      <c r="BS50" s="21">
        <f>SUM(BS36:BS49)</f>
        <v>53697277.11000003</v>
      </c>
      <c r="BT50" s="23"/>
      <c r="BU50" s="22">
        <f>SUM(BU36:BU49)</f>
        <v>10082</v>
      </c>
      <c r="BV50" s="23"/>
      <c r="BW50" s="57"/>
      <c r="BX50" s="31"/>
      <c r="BY50" s="57"/>
      <c r="BZ50" s="21">
        <f>SUM(BZ36:BZ49)</f>
        <v>52984697.72999999</v>
      </c>
      <c r="CA50" s="23"/>
      <c r="CB50" s="22">
        <f>SUM(CB36:CB49)</f>
        <v>9880</v>
      </c>
      <c r="CC50" s="23"/>
      <c r="CD50" s="57"/>
      <c r="CE50" s="31"/>
      <c r="CF50" s="57"/>
      <c r="CG50" s="21">
        <f>SUM(CG36:CG49)</f>
        <v>51490153.430000015</v>
      </c>
      <c r="CH50" s="23"/>
      <c r="CI50" s="22">
        <f>SUM(CI36:CI49)</f>
        <v>9411</v>
      </c>
      <c r="CJ50" s="23"/>
      <c r="CK50" s="57"/>
      <c r="CL50" s="31"/>
      <c r="CM50" s="57"/>
      <c r="CN50" s="21">
        <f>SUM(CN36:CN49)</f>
        <v>45645265.17000002</v>
      </c>
      <c r="CO50" s="23"/>
      <c r="CP50" s="22">
        <f>SUM(CP36:CP49)</f>
        <v>8467</v>
      </c>
      <c r="CQ50" s="23"/>
      <c r="CR50" s="57"/>
      <c r="CS50" s="31"/>
      <c r="CT50" s="57"/>
      <c r="CU50" s="21">
        <f>SUM(CU36:CU49)</f>
        <v>71625476.24999997</v>
      </c>
      <c r="CV50" s="23"/>
      <c r="CW50" s="22">
        <f>SUM(CW36:CW49)</f>
        <v>13459</v>
      </c>
      <c r="CX50" s="23"/>
      <c r="CY50" s="57"/>
      <c r="CZ50" s="31"/>
      <c r="DA50" s="57"/>
    </row>
    <row r="51" spans="1:105" ht="13.5" thickTop="1">
      <c r="A51" s="8"/>
      <c r="B51" s="8"/>
      <c r="C51" s="8"/>
      <c r="D51" s="9"/>
      <c r="E51" s="8"/>
      <c r="F51" s="10"/>
      <c r="G51" s="8"/>
      <c r="H51" s="8"/>
      <c r="I51" s="9"/>
      <c r="J51" s="8"/>
      <c r="K51" s="10"/>
      <c r="L51" s="8"/>
      <c r="M51" s="54"/>
      <c r="N51" s="55"/>
      <c r="O51" s="54"/>
      <c r="P51" s="9"/>
      <c r="Q51" s="8"/>
      <c r="R51" s="10"/>
      <c r="S51" s="8"/>
      <c r="T51" s="54"/>
      <c r="U51" s="55"/>
      <c r="V51" s="54"/>
      <c r="W51" s="9"/>
      <c r="X51" s="8"/>
      <c r="Y51" s="10"/>
      <c r="Z51" s="8"/>
      <c r="AA51" s="54"/>
      <c r="AB51" s="55"/>
      <c r="AC51" s="54"/>
      <c r="AD51" s="9"/>
      <c r="AE51" s="8"/>
      <c r="AF51" s="10"/>
      <c r="AG51" s="8"/>
      <c r="AH51" s="54"/>
      <c r="AI51" s="55"/>
      <c r="AJ51" s="54"/>
      <c r="AK51" s="9"/>
      <c r="AL51" s="8"/>
      <c r="AM51" s="10"/>
      <c r="AN51" s="8"/>
      <c r="AO51" s="54"/>
      <c r="AP51" s="55"/>
      <c r="AQ51" s="54"/>
      <c r="AR51" s="9"/>
      <c r="AS51" s="8"/>
      <c r="AT51" s="10"/>
      <c r="AU51" s="8"/>
      <c r="AV51" s="54"/>
      <c r="AW51" s="55"/>
      <c r="AX51" s="54"/>
      <c r="AY51" s="9"/>
      <c r="AZ51" s="8"/>
      <c r="BA51" s="10"/>
      <c r="BB51" s="8"/>
      <c r="BC51" s="54"/>
      <c r="BD51" s="55"/>
      <c r="BE51" s="9"/>
      <c r="BF51" s="8"/>
      <c r="BG51" s="10"/>
      <c r="BH51" s="8"/>
      <c r="BI51" s="54"/>
      <c r="BJ51" s="55"/>
      <c r="BK51" s="54"/>
      <c r="BL51" s="9"/>
      <c r="BM51" s="8"/>
      <c r="BN51" s="10"/>
      <c r="BO51" s="8"/>
      <c r="BP51" s="54"/>
      <c r="BQ51" s="55"/>
      <c r="BR51" s="54"/>
      <c r="BS51" s="9"/>
      <c r="BT51" s="8"/>
      <c r="BU51" s="10"/>
      <c r="BV51" s="8"/>
      <c r="BW51" s="54"/>
      <c r="BX51" s="55"/>
      <c r="BY51" s="54"/>
      <c r="BZ51" s="9"/>
      <c r="CA51" s="8"/>
      <c r="CB51" s="10"/>
      <c r="CC51" s="8"/>
      <c r="CD51" s="54"/>
      <c r="CE51" s="55"/>
      <c r="CF51" s="54"/>
      <c r="CG51" s="9"/>
      <c r="CH51" s="8"/>
      <c r="CI51" s="10"/>
      <c r="CJ51" s="8"/>
      <c r="CK51" s="54"/>
      <c r="CL51" s="55"/>
      <c r="CM51" s="54"/>
      <c r="CN51" s="9"/>
      <c r="CO51" s="8"/>
      <c r="CP51" s="10"/>
      <c r="CQ51" s="8"/>
      <c r="CR51" s="54"/>
      <c r="CS51" s="55"/>
      <c r="CT51" s="54"/>
      <c r="CU51" s="9"/>
      <c r="CV51" s="8"/>
      <c r="CW51" s="10"/>
      <c r="CX51" s="8"/>
      <c r="CY51" s="54"/>
      <c r="CZ51" s="55"/>
      <c r="DA51" s="54"/>
    </row>
    <row r="52" spans="1:105" ht="12.75">
      <c r="A52" s="8"/>
      <c r="B52" s="8"/>
      <c r="C52" s="8"/>
      <c r="D52" s="9"/>
      <c r="E52" s="8"/>
      <c r="F52" s="10"/>
      <c r="G52" s="8"/>
      <c r="H52" s="8"/>
      <c r="I52" s="8"/>
      <c r="J52" s="8"/>
      <c r="K52" s="8"/>
      <c r="L52" s="9"/>
      <c r="M52" s="54"/>
      <c r="N52" s="55"/>
      <c r="O52" s="54"/>
      <c r="P52" s="8"/>
      <c r="Q52" s="8"/>
      <c r="R52" s="8"/>
      <c r="S52" s="9"/>
      <c r="T52" s="54"/>
      <c r="U52" s="55"/>
      <c r="V52" s="54"/>
      <c r="W52" s="8"/>
      <c r="X52" s="8"/>
      <c r="Y52" s="8"/>
      <c r="Z52" s="9"/>
      <c r="AA52" s="54"/>
      <c r="AB52" s="55"/>
      <c r="AC52" s="54"/>
      <c r="AD52" s="8"/>
      <c r="AE52" s="8"/>
      <c r="AF52" s="8"/>
      <c r="AG52" s="9"/>
      <c r="AH52" s="54"/>
      <c r="AI52" s="55"/>
      <c r="AJ52" s="54"/>
      <c r="AK52" s="8"/>
      <c r="AL52" s="8"/>
      <c r="AM52" s="8"/>
      <c r="AN52" s="9"/>
      <c r="AO52" s="54"/>
      <c r="AP52" s="55"/>
      <c r="AQ52" s="54"/>
      <c r="AR52" s="8"/>
      <c r="AS52" s="8"/>
      <c r="AT52" s="8"/>
      <c r="AU52" s="9"/>
      <c r="AV52" s="54"/>
      <c r="AW52" s="55"/>
      <c r="AX52" s="54"/>
      <c r="AY52" s="8"/>
      <c r="AZ52" s="8"/>
      <c r="BA52" s="8"/>
      <c r="BB52" s="9"/>
      <c r="BC52" s="54"/>
      <c r="BD52" s="55"/>
      <c r="BE52" s="8"/>
      <c r="BF52" s="8"/>
      <c r="BG52" s="8"/>
      <c r="BH52" s="9"/>
      <c r="BI52" s="54"/>
      <c r="BJ52" s="55"/>
      <c r="BK52" s="54"/>
      <c r="BL52" s="8"/>
      <c r="BM52" s="8"/>
      <c r="BN52" s="8"/>
      <c r="BO52" s="9"/>
      <c r="BP52" s="54"/>
      <c r="BQ52" s="55"/>
      <c r="BR52" s="54"/>
      <c r="BS52" s="8"/>
      <c r="BT52" s="8"/>
      <c r="BU52" s="8"/>
      <c r="BV52" s="9"/>
      <c r="BW52" s="54"/>
      <c r="BX52" s="55"/>
      <c r="BY52" s="54"/>
      <c r="BZ52" s="8"/>
      <c r="CA52" s="8"/>
      <c r="CB52" s="8"/>
      <c r="CC52" s="9"/>
      <c r="CD52" s="54"/>
      <c r="CE52" s="55"/>
      <c r="CF52" s="54"/>
      <c r="CG52" s="95"/>
      <c r="CH52" s="95"/>
      <c r="CI52" s="8"/>
      <c r="CJ52" s="9"/>
      <c r="CK52" s="54"/>
      <c r="CL52" s="55"/>
      <c r="CM52" s="54"/>
      <c r="CN52" s="95"/>
      <c r="CO52" s="95"/>
      <c r="CP52" s="8"/>
      <c r="CQ52" s="9"/>
      <c r="CR52" s="54"/>
      <c r="CS52" s="55"/>
      <c r="CT52" s="54"/>
      <c r="CU52" s="95"/>
      <c r="CV52" s="95"/>
      <c r="CW52" s="8"/>
      <c r="CX52" s="9"/>
      <c r="CY52" s="54"/>
      <c r="CZ52" s="55"/>
      <c r="DA52" s="54"/>
    </row>
    <row r="53" spans="1:105" ht="12.75">
      <c r="A53" s="8"/>
      <c r="B53" s="8"/>
      <c r="C53" s="8"/>
      <c r="D53" s="9"/>
      <c r="E53" s="8"/>
      <c r="F53" s="10"/>
      <c r="G53" s="8"/>
      <c r="H53" s="8"/>
      <c r="I53" s="8"/>
      <c r="J53" s="8"/>
      <c r="K53" s="8"/>
      <c r="L53" s="9"/>
      <c r="M53" s="8"/>
      <c r="N53" s="10"/>
      <c r="O53" s="8"/>
      <c r="P53" s="8"/>
      <c r="Q53" s="8"/>
      <c r="R53" s="8"/>
      <c r="S53" s="9"/>
      <c r="T53" s="8"/>
      <c r="U53" s="10"/>
      <c r="V53" s="8"/>
      <c r="W53" s="8"/>
      <c r="X53" s="8"/>
      <c r="Y53" s="8"/>
      <c r="Z53" s="9"/>
      <c r="AA53" s="8"/>
      <c r="AB53" s="10"/>
      <c r="AC53" s="8"/>
      <c r="AD53" s="8"/>
      <c r="AE53" s="8"/>
      <c r="AF53" s="8"/>
      <c r="AG53" s="9"/>
      <c r="AH53" s="8"/>
      <c r="AI53" s="10"/>
      <c r="AJ53" s="8"/>
      <c r="AK53" s="8"/>
      <c r="AL53" s="8"/>
      <c r="AM53" s="8"/>
      <c r="AN53" s="9"/>
      <c r="AO53" s="8"/>
      <c r="AP53" s="10"/>
      <c r="AQ53" s="8"/>
      <c r="AR53" s="8"/>
      <c r="AS53" s="8"/>
      <c r="AT53" s="8"/>
      <c r="AU53" s="9"/>
      <c r="AV53" s="8"/>
      <c r="AW53" s="10"/>
      <c r="AX53" s="8"/>
      <c r="AY53" s="8"/>
      <c r="AZ53" s="8"/>
      <c r="BA53" s="8"/>
      <c r="BB53" s="9"/>
      <c r="BC53" s="8"/>
      <c r="BD53" s="10"/>
      <c r="BE53" s="8"/>
      <c r="BF53" s="8"/>
      <c r="BG53" s="8"/>
      <c r="BH53" s="9"/>
      <c r="BI53" s="8"/>
      <c r="BJ53" s="10"/>
      <c r="BK53" s="8"/>
      <c r="BL53" s="8"/>
      <c r="BM53" s="8"/>
      <c r="BN53" s="8"/>
      <c r="BO53" s="9"/>
      <c r="BP53" s="8"/>
      <c r="BQ53" s="10"/>
      <c r="BR53" s="8"/>
      <c r="BS53" s="8"/>
      <c r="BT53" s="8"/>
      <c r="BU53" s="8"/>
      <c r="BV53" s="9"/>
      <c r="BW53" s="8"/>
      <c r="BX53" s="10"/>
      <c r="BY53" s="8"/>
      <c r="BZ53" s="8"/>
      <c r="CA53" s="8"/>
      <c r="CB53" s="8"/>
      <c r="CC53" s="9"/>
      <c r="CD53" s="8"/>
      <c r="CE53" s="10"/>
      <c r="CF53" s="8"/>
      <c r="CG53" s="8"/>
      <c r="CH53" s="8"/>
      <c r="CI53" s="8"/>
      <c r="CJ53" s="9"/>
      <c r="CK53" s="8"/>
      <c r="CL53" s="10"/>
      <c r="CM53" s="8"/>
      <c r="CN53" s="8"/>
      <c r="CO53" s="8"/>
      <c r="CP53" s="8"/>
      <c r="CQ53" s="9"/>
      <c r="CR53" s="8"/>
      <c r="CS53" s="10"/>
      <c r="CT53" s="8"/>
      <c r="CU53" s="8"/>
      <c r="CV53" s="8"/>
      <c r="CW53" s="8"/>
      <c r="CX53" s="9"/>
      <c r="CY53" s="8"/>
      <c r="CZ53" s="10"/>
      <c r="DA53" s="8"/>
    </row>
    <row r="54" spans="1:105" ht="12.75">
      <c r="A54" s="8"/>
      <c r="B54" s="8"/>
      <c r="C54" s="8"/>
      <c r="D54" s="9"/>
      <c r="E54" s="8"/>
      <c r="F54" s="10"/>
      <c r="G54" s="8"/>
      <c r="H54" s="8"/>
      <c r="I54" s="8"/>
      <c r="J54" s="8"/>
      <c r="K54" s="8"/>
      <c r="L54" s="9"/>
      <c r="M54" s="8"/>
      <c r="N54" s="10"/>
      <c r="O54" s="8"/>
      <c r="P54" s="8"/>
      <c r="Q54" s="8"/>
      <c r="R54" s="8"/>
      <c r="S54" s="9"/>
      <c r="T54" s="8"/>
      <c r="U54" s="10"/>
      <c r="V54" s="8"/>
      <c r="W54" s="8"/>
      <c r="X54" s="8"/>
      <c r="Y54" s="8"/>
      <c r="Z54" s="9"/>
      <c r="AA54" s="8"/>
      <c r="AB54" s="10"/>
      <c r="AC54" s="8"/>
      <c r="AD54" s="8"/>
      <c r="AE54" s="8"/>
      <c r="AF54" s="8"/>
      <c r="AG54" s="9"/>
      <c r="AH54" s="8"/>
      <c r="AI54" s="10"/>
      <c r="AJ54" s="8"/>
      <c r="AK54" s="8"/>
      <c r="AL54" s="8"/>
      <c r="AM54" s="8"/>
      <c r="AN54" s="9"/>
      <c r="AO54" s="8"/>
      <c r="AP54" s="10"/>
      <c r="AQ54" s="8"/>
      <c r="AR54" s="8"/>
      <c r="AS54" s="8"/>
      <c r="AT54" s="8"/>
      <c r="AU54" s="9"/>
      <c r="AV54" s="8"/>
      <c r="AW54" s="10"/>
      <c r="AX54" s="8"/>
      <c r="AY54" s="8"/>
      <c r="AZ54" s="8"/>
      <c r="BA54" s="8"/>
      <c r="BB54" s="9"/>
      <c r="BC54" s="8"/>
      <c r="BD54" s="10"/>
      <c r="BE54" s="8"/>
      <c r="BF54" s="8"/>
      <c r="BG54" s="8"/>
      <c r="BH54" s="9"/>
      <c r="BI54" s="8"/>
      <c r="BJ54" s="10"/>
      <c r="BK54" s="8"/>
      <c r="BL54" s="8"/>
      <c r="BM54" s="8"/>
      <c r="BN54" s="8"/>
      <c r="BO54" s="9"/>
      <c r="BP54" s="8"/>
      <c r="BQ54" s="10"/>
      <c r="BR54" s="8"/>
      <c r="BS54" s="8"/>
      <c r="BT54" s="8"/>
      <c r="BU54" s="8"/>
      <c r="BV54" s="9"/>
      <c r="BW54" s="8"/>
      <c r="BX54" s="10"/>
      <c r="BY54" s="8"/>
      <c r="BZ54" s="8"/>
      <c r="CA54" s="8"/>
      <c r="CB54" s="8"/>
      <c r="CC54" s="9"/>
      <c r="CD54" s="8"/>
      <c r="CE54" s="10"/>
      <c r="CF54" s="8"/>
      <c r="CG54" s="8"/>
      <c r="CH54" s="8"/>
      <c r="CI54" s="8"/>
      <c r="CJ54" s="9"/>
      <c r="CK54" s="8"/>
      <c r="CL54" s="10"/>
      <c r="CM54" s="8"/>
      <c r="CN54" s="8"/>
      <c r="CO54" s="8"/>
      <c r="CP54" s="8"/>
      <c r="CQ54" s="9"/>
      <c r="CR54" s="8"/>
      <c r="CS54" s="10"/>
      <c r="CT54" s="8"/>
      <c r="CU54" s="8"/>
      <c r="CV54" s="8"/>
      <c r="CW54" s="8"/>
      <c r="CX54" s="9"/>
      <c r="CY54" s="8"/>
      <c r="CZ54" s="10"/>
      <c r="DA54" s="8"/>
    </row>
    <row r="55" spans="1:105" ht="12.75">
      <c r="A55" s="19" t="s">
        <v>127</v>
      </c>
      <c r="B55" s="8"/>
      <c r="C55" s="8"/>
      <c r="D55" s="9"/>
      <c r="E55" s="8"/>
      <c r="F55" s="10"/>
      <c r="G55" s="8"/>
      <c r="H55" s="8"/>
      <c r="I55" s="19" t="s">
        <v>127</v>
      </c>
      <c r="J55" s="8"/>
      <c r="K55" s="8"/>
      <c r="L55" s="9"/>
      <c r="M55" s="8"/>
      <c r="N55" s="10"/>
      <c r="O55" s="8"/>
      <c r="P55" s="19" t="s">
        <v>127</v>
      </c>
      <c r="Q55" s="8"/>
      <c r="R55" s="8"/>
      <c r="S55" s="9"/>
      <c r="T55" s="8"/>
      <c r="U55" s="10"/>
      <c r="V55" s="8"/>
      <c r="W55" s="19" t="s">
        <v>127</v>
      </c>
      <c r="X55" s="8"/>
      <c r="Y55" s="8"/>
      <c r="Z55" s="9"/>
      <c r="AA55" s="8"/>
      <c r="AB55" s="10"/>
      <c r="AC55" s="8"/>
      <c r="AD55" s="19" t="s">
        <v>127</v>
      </c>
      <c r="AE55" s="8"/>
      <c r="AF55" s="8"/>
      <c r="AG55" s="9"/>
      <c r="AH55" s="8"/>
      <c r="AI55" s="10"/>
      <c r="AJ55" s="8"/>
      <c r="AK55" s="19" t="s">
        <v>127</v>
      </c>
      <c r="AL55" s="8"/>
      <c r="AM55" s="8"/>
      <c r="AN55" s="9"/>
      <c r="AO55" s="8"/>
      <c r="AP55" s="10"/>
      <c r="AQ55" s="8"/>
      <c r="AR55" s="19" t="s">
        <v>127</v>
      </c>
      <c r="AS55" s="8"/>
      <c r="AT55" s="8"/>
      <c r="AU55" s="9"/>
      <c r="AV55" s="8"/>
      <c r="AW55" s="10"/>
      <c r="AX55" s="8"/>
      <c r="AY55" s="19" t="s">
        <v>127</v>
      </c>
      <c r="AZ55" s="8"/>
      <c r="BA55" s="8"/>
      <c r="BB55" s="9"/>
      <c r="BC55" s="8"/>
      <c r="BD55" s="10"/>
      <c r="BE55" s="19" t="s">
        <v>127</v>
      </c>
      <c r="BF55" s="8"/>
      <c r="BG55" s="8"/>
      <c r="BH55" s="9"/>
      <c r="BI55" s="8"/>
      <c r="BJ55" s="10"/>
      <c r="BK55" s="8"/>
      <c r="BL55" s="19" t="s">
        <v>127</v>
      </c>
      <c r="BM55" s="8"/>
      <c r="BN55" s="8"/>
      <c r="BO55" s="9"/>
      <c r="BP55" s="8"/>
      <c r="BQ55" s="10"/>
      <c r="BR55" s="8"/>
      <c r="BS55" s="19" t="s">
        <v>127</v>
      </c>
      <c r="BT55" s="8"/>
      <c r="BU55" s="8"/>
      <c r="BV55" s="9"/>
      <c r="BW55" s="8"/>
      <c r="BX55" s="10"/>
      <c r="BY55" s="8"/>
      <c r="BZ55" s="19" t="s">
        <v>127</v>
      </c>
      <c r="CA55" s="8"/>
      <c r="CB55" s="8"/>
      <c r="CC55" s="9"/>
      <c r="CD55" s="8"/>
      <c r="CE55" s="10"/>
      <c r="CF55" s="8"/>
      <c r="CG55" s="19" t="s">
        <v>127</v>
      </c>
      <c r="CH55" s="8"/>
      <c r="CI55" s="8"/>
      <c r="CJ55" s="9"/>
      <c r="CK55" s="8"/>
      <c r="CL55" s="10"/>
      <c r="CM55" s="8"/>
      <c r="CN55" s="19" t="s">
        <v>127</v>
      </c>
      <c r="CO55" s="8"/>
      <c r="CP55" s="8"/>
      <c r="CQ55" s="9"/>
      <c r="CR55" s="8"/>
      <c r="CS55" s="10"/>
      <c r="CT55" s="8"/>
      <c r="CU55" s="19" t="s">
        <v>127</v>
      </c>
      <c r="CV55" s="8"/>
      <c r="CW55" s="8"/>
      <c r="CX55" s="9"/>
      <c r="CY55" s="8"/>
      <c r="CZ55" s="10"/>
      <c r="DA55" s="8"/>
    </row>
    <row r="56" spans="1:105" ht="12.75">
      <c r="A56" s="19"/>
      <c r="B56" s="8"/>
      <c r="C56" s="8"/>
      <c r="D56" s="9"/>
      <c r="E56" s="8"/>
      <c r="F56" s="10"/>
      <c r="G56" s="8"/>
      <c r="H56" s="8"/>
      <c r="I56" s="19"/>
      <c r="J56" s="8"/>
      <c r="K56" s="8"/>
      <c r="L56" s="9"/>
      <c r="M56" s="8"/>
      <c r="N56" s="10"/>
      <c r="O56" s="8"/>
      <c r="P56" s="19"/>
      <c r="Q56" s="8"/>
      <c r="R56" s="8"/>
      <c r="S56" s="9"/>
      <c r="T56" s="8"/>
      <c r="U56" s="10"/>
      <c r="V56" s="8"/>
      <c r="W56" s="19"/>
      <c r="X56" s="8"/>
      <c r="Y56" s="8"/>
      <c r="Z56" s="9"/>
      <c r="AA56" s="8"/>
      <c r="AB56" s="10"/>
      <c r="AC56" s="8"/>
      <c r="AD56" s="19"/>
      <c r="AE56" s="8"/>
      <c r="AF56" s="8"/>
      <c r="AG56" s="9"/>
      <c r="AH56" s="8"/>
      <c r="AI56" s="10"/>
      <c r="AJ56" s="8"/>
      <c r="AK56" s="19"/>
      <c r="AL56" s="8"/>
      <c r="AM56" s="8"/>
      <c r="AN56" s="9"/>
      <c r="AO56" s="8"/>
      <c r="AP56" s="10"/>
      <c r="AQ56" s="8"/>
      <c r="AR56" s="19"/>
      <c r="AS56" s="8"/>
      <c r="AT56" s="8"/>
      <c r="AU56" s="9"/>
      <c r="AV56" s="8"/>
      <c r="AW56" s="10"/>
      <c r="AX56" s="8"/>
      <c r="AY56" s="19"/>
      <c r="AZ56" s="8"/>
      <c r="BA56" s="8"/>
      <c r="BB56" s="9"/>
      <c r="BC56" s="8"/>
      <c r="BD56" s="10"/>
      <c r="BE56" s="19"/>
      <c r="BF56" s="8"/>
      <c r="BG56" s="8"/>
      <c r="BH56" s="9"/>
      <c r="BI56" s="8"/>
      <c r="BJ56" s="10"/>
      <c r="BK56" s="8"/>
      <c r="BL56" s="19"/>
      <c r="BM56" s="8"/>
      <c r="BN56" s="8"/>
      <c r="BO56" s="9"/>
      <c r="BP56" s="8"/>
      <c r="BQ56" s="10"/>
      <c r="BR56" s="8"/>
      <c r="BS56" s="19"/>
      <c r="BT56" s="8"/>
      <c r="BU56" s="8"/>
      <c r="BV56" s="9"/>
      <c r="BW56" s="8"/>
      <c r="BX56" s="10"/>
      <c r="BY56" s="8"/>
      <c r="BZ56" s="19"/>
      <c r="CA56" s="8"/>
      <c r="CB56" s="8"/>
      <c r="CC56" s="9"/>
      <c r="CD56" s="8"/>
      <c r="CE56" s="10"/>
      <c r="CF56" s="8"/>
      <c r="CG56" s="19"/>
      <c r="CH56" s="8"/>
      <c r="CI56" s="8"/>
      <c r="CJ56" s="9"/>
      <c r="CK56" s="8"/>
      <c r="CL56" s="10"/>
      <c r="CM56" s="8"/>
      <c r="CN56" s="19"/>
      <c r="CO56" s="8"/>
      <c r="CP56" s="8"/>
      <c r="CQ56" s="9"/>
      <c r="CR56" s="8"/>
      <c r="CS56" s="10"/>
      <c r="CT56" s="8"/>
      <c r="CU56" s="19"/>
      <c r="CV56" s="8"/>
      <c r="CW56" s="8"/>
      <c r="CX56" s="9"/>
      <c r="CY56" s="8"/>
      <c r="CZ56" s="10"/>
      <c r="DA56" s="8"/>
    </row>
    <row r="57" spans="1:105" s="29" customFormat="1" ht="12.75">
      <c r="A57" s="25"/>
      <c r="B57" s="26"/>
      <c r="C57" s="26"/>
      <c r="D57" s="27" t="s">
        <v>99</v>
      </c>
      <c r="E57" s="26" t="s">
        <v>100</v>
      </c>
      <c r="F57" s="28" t="s">
        <v>101</v>
      </c>
      <c r="G57" s="26" t="s">
        <v>100</v>
      </c>
      <c r="H57" s="26"/>
      <c r="I57" s="27" t="s">
        <v>99</v>
      </c>
      <c r="J57" s="26" t="s">
        <v>100</v>
      </c>
      <c r="K57" s="28" t="s">
        <v>101</v>
      </c>
      <c r="L57" s="26" t="s">
        <v>100</v>
      </c>
      <c r="M57" s="26"/>
      <c r="N57" s="28"/>
      <c r="O57" s="26"/>
      <c r="P57" s="27" t="s">
        <v>99</v>
      </c>
      <c r="Q57" s="26" t="s">
        <v>100</v>
      </c>
      <c r="R57" s="28" t="s">
        <v>101</v>
      </c>
      <c r="S57" s="26" t="s">
        <v>100</v>
      </c>
      <c r="T57" s="26"/>
      <c r="U57" s="28"/>
      <c r="V57" s="26"/>
      <c r="W57" s="27" t="s">
        <v>99</v>
      </c>
      <c r="X57" s="26" t="s">
        <v>100</v>
      </c>
      <c r="Y57" s="28" t="s">
        <v>101</v>
      </c>
      <c r="Z57" s="26" t="s">
        <v>100</v>
      </c>
      <c r="AA57" s="26"/>
      <c r="AB57" s="28"/>
      <c r="AC57" s="26"/>
      <c r="AD57" s="27" t="s">
        <v>99</v>
      </c>
      <c r="AE57" s="26" t="s">
        <v>100</v>
      </c>
      <c r="AF57" s="28" t="s">
        <v>101</v>
      </c>
      <c r="AG57" s="26" t="s">
        <v>100</v>
      </c>
      <c r="AH57" s="26"/>
      <c r="AI57" s="28"/>
      <c r="AJ57" s="26"/>
      <c r="AK57" s="27" t="s">
        <v>99</v>
      </c>
      <c r="AL57" s="26" t="s">
        <v>100</v>
      </c>
      <c r="AM57" s="28" t="s">
        <v>101</v>
      </c>
      <c r="AN57" s="26" t="s">
        <v>100</v>
      </c>
      <c r="AO57" s="26"/>
      <c r="AP57" s="28"/>
      <c r="AQ57" s="26"/>
      <c r="AR57" s="27" t="s">
        <v>99</v>
      </c>
      <c r="AS57" s="26" t="s">
        <v>100</v>
      </c>
      <c r="AT57" s="28" t="s">
        <v>101</v>
      </c>
      <c r="AU57" s="26" t="s">
        <v>100</v>
      </c>
      <c r="AV57" s="26"/>
      <c r="AW57" s="28"/>
      <c r="AX57" s="26"/>
      <c r="AY57" s="89" t="s">
        <v>99</v>
      </c>
      <c r="AZ57" s="44" t="s">
        <v>100</v>
      </c>
      <c r="BA57" s="88" t="s">
        <v>101</v>
      </c>
      <c r="BB57" s="44" t="s">
        <v>100</v>
      </c>
      <c r="BC57" s="26"/>
      <c r="BD57" s="28"/>
      <c r="BE57" s="89" t="s">
        <v>99</v>
      </c>
      <c r="BF57" s="44" t="s">
        <v>100</v>
      </c>
      <c r="BG57" s="88" t="s">
        <v>101</v>
      </c>
      <c r="BH57" s="44" t="s">
        <v>100</v>
      </c>
      <c r="BI57" s="26"/>
      <c r="BJ57" s="28"/>
      <c r="BK57" s="26"/>
      <c r="BL57" s="89" t="s">
        <v>99</v>
      </c>
      <c r="BM57" s="44" t="s">
        <v>100</v>
      </c>
      <c r="BN57" s="88" t="s">
        <v>101</v>
      </c>
      <c r="BO57" s="44" t="s">
        <v>100</v>
      </c>
      <c r="BP57" s="26"/>
      <c r="BQ57" s="28"/>
      <c r="BR57" s="26"/>
      <c r="BS57" s="89" t="s">
        <v>99</v>
      </c>
      <c r="BT57" s="44" t="s">
        <v>100</v>
      </c>
      <c r="BU57" s="88" t="s">
        <v>101</v>
      </c>
      <c r="BV57" s="44" t="s">
        <v>100</v>
      </c>
      <c r="BW57" s="26"/>
      <c r="BX57" s="28"/>
      <c r="BY57" s="26"/>
      <c r="BZ57" s="89" t="s">
        <v>99</v>
      </c>
      <c r="CA57" s="44" t="s">
        <v>100</v>
      </c>
      <c r="CB57" s="88" t="s">
        <v>101</v>
      </c>
      <c r="CC57" s="44" t="s">
        <v>100</v>
      </c>
      <c r="CD57" s="26"/>
      <c r="CE57" s="28"/>
      <c r="CF57" s="26"/>
      <c r="CG57" s="89" t="s">
        <v>99</v>
      </c>
      <c r="CH57" s="44" t="s">
        <v>100</v>
      </c>
      <c r="CI57" s="88" t="s">
        <v>101</v>
      </c>
      <c r="CJ57" s="44" t="s">
        <v>100</v>
      </c>
      <c r="CK57" s="26"/>
      <c r="CL57" s="28"/>
      <c r="CM57" s="26"/>
      <c r="CN57" s="89" t="s">
        <v>99</v>
      </c>
      <c r="CO57" s="44" t="s">
        <v>100</v>
      </c>
      <c r="CP57" s="88" t="s">
        <v>101</v>
      </c>
      <c r="CQ57" s="44" t="s">
        <v>100</v>
      </c>
      <c r="CR57" s="26"/>
      <c r="CS57" s="28"/>
      <c r="CT57" s="26"/>
      <c r="CU57" s="89" t="s">
        <v>99</v>
      </c>
      <c r="CV57" s="44" t="s">
        <v>100</v>
      </c>
      <c r="CW57" s="88" t="s">
        <v>101</v>
      </c>
      <c r="CX57" s="44" t="s">
        <v>100</v>
      </c>
      <c r="CY57" s="26"/>
      <c r="CZ57" s="28"/>
      <c r="DA57" s="26"/>
    </row>
    <row r="58" spans="1:105" ht="12.75">
      <c r="A58" s="12"/>
      <c r="B58" s="8"/>
      <c r="C58" s="8"/>
      <c r="D58" s="9"/>
      <c r="E58" s="8"/>
      <c r="F58" s="10"/>
      <c r="G58" s="8"/>
      <c r="H58" s="8"/>
      <c r="I58" s="9"/>
      <c r="J58" s="8"/>
      <c r="K58" s="10"/>
      <c r="L58" s="8"/>
      <c r="M58" s="8"/>
      <c r="N58" s="10"/>
      <c r="O58" s="8"/>
      <c r="P58" s="9"/>
      <c r="Q58" s="8"/>
      <c r="R58" s="10"/>
      <c r="S58" s="8"/>
      <c r="T58" s="8"/>
      <c r="U58" s="10"/>
      <c r="V58" s="8"/>
      <c r="W58" s="9"/>
      <c r="X58" s="8"/>
      <c r="Y58" s="10"/>
      <c r="Z58" s="8"/>
      <c r="AA58" s="8"/>
      <c r="AB58" s="10"/>
      <c r="AC58" s="8"/>
      <c r="AD58" s="9"/>
      <c r="AE58" s="8"/>
      <c r="AF58" s="10"/>
      <c r="AG58" s="8"/>
      <c r="AH58" s="8"/>
      <c r="AI58" s="10"/>
      <c r="AJ58" s="8"/>
      <c r="AK58" s="9"/>
      <c r="AL58" s="8"/>
      <c r="AM58" s="10"/>
      <c r="AN58" s="8"/>
      <c r="AO58" s="8"/>
      <c r="AP58" s="10"/>
      <c r="AQ58" s="8"/>
      <c r="AR58" s="9"/>
      <c r="AS58" s="8"/>
      <c r="AT58" s="10"/>
      <c r="AU58" s="8"/>
      <c r="AV58" s="8"/>
      <c r="AW58" s="10"/>
      <c r="AX58" s="8"/>
      <c r="AY58" s="9"/>
      <c r="AZ58" s="8"/>
      <c r="BA58" s="10"/>
      <c r="BB58" s="8"/>
      <c r="BC58" s="8"/>
      <c r="BD58" s="10"/>
      <c r="BE58" s="9"/>
      <c r="BF58" s="8"/>
      <c r="BG58" s="10"/>
      <c r="BH58" s="8"/>
      <c r="BI58" s="8"/>
      <c r="BJ58" s="10"/>
      <c r="BK58" s="8"/>
      <c r="BL58" s="9"/>
      <c r="BM58" s="8"/>
      <c r="BN58" s="10"/>
      <c r="BO58" s="8"/>
      <c r="BP58" s="8"/>
      <c r="BQ58" s="10"/>
      <c r="BR58" s="8"/>
      <c r="BS58" s="9"/>
      <c r="BT58" s="8"/>
      <c r="BU58" s="10"/>
      <c r="BV58" s="8"/>
      <c r="BW58" s="8"/>
      <c r="BX58" s="10"/>
      <c r="BY58" s="8"/>
      <c r="BZ58" s="9"/>
      <c r="CA58" s="8"/>
      <c r="CB58" s="10"/>
      <c r="CC58" s="8"/>
      <c r="CD58" s="8"/>
      <c r="CE58" s="10"/>
      <c r="CF58" s="8"/>
      <c r="CG58" s="9"/>
      <c r="CH58" s="8"/>
      <c r="CI58" s="10"/>
      <c r="CJ58" s="8"/>
      <c r="CK58" s="8"/>
      <c r="CL58" s="10"/>
      <c r="CM58" s="8"/>
      <c r="CN58" s="9"/>
      <c r="CO58" s="8"/>
      <c r="CP58" s="10"/>
      <c r="CQ58" s="8"/>
      <c r="CR58" s="8"/>
      <c r="CS58" s="10"/>
      <c r="CT58" s="8"/>
      <c r="CU58" s="9"/>
      <c r="CV58" s="8"/>
      <c r="CW58" s="10"/>
      <c r="CX58" s="8"/>
      <c r="CY58" s="8"/>
      <c r="CZ58" s="10"/>
      <c r="DA58" s="8"/>
    </row>
    <row r="59" spans="1:105" ht="12.75">
      <c r="A59" s="8" t="s">
        <v>17</v>
      </c>
      <c r="B59" s="8"/>
      <c r="C59" s="8"/>
      <c r="D59" s="9">
        <v>217524.27</v>
      </c>
      <c r="E59" s="14">
        <f>+D59/D74</f>
        <v>0.00823657638422348</v>
      </c>
      <c r="F59" s="10">
        <v>147</v>
      </c>
      <c r="G59" s="14">
        <f>+F59/F74</f>
        <v>0.04139678963672205</v>
      </c>
      <c r="H59" s="14"/>
      <c r="I59" s="9">
        <v>254434.9</v>
      </c>
      <c r="J59" s="14">
        <f>+I59/I74</f>
        <v>0.010457060620565757</v>
      </c>
      <c r="K59" s="10">
        <v>196</v>
      </c>
      <c r="L59" s="14">
        <f>+K59/K74</f>
        <v>0.056910569105691054</v>
      </c>
      <c r="M59" s="14"/>
      <c r="N59" s="10"/>
      <c r="O59" s="14"/>
      <c r="P59" s="9">
        <v>395175.15</v>
      </c>
      <c r="Q59" s="14">
        <v>0.010413734454665141</v>
      </c>
      <c r="R59" s="10">
        <v>322</v>
      </c>
      <c r="S59" s="14">
        <v>0.05723426946320654</v>
      </c>
      <c r="T59" s="14"/>
      <c r="U59" s="10"/>
      <c r="V59" s="14"/>
      <c r="W59" s="9">
        <v>563857.1700000006</v>
      </c>
      <c r="X59" s="14">
        <v>0.012088783427146399</v>
      </c>
      <c r="Y59" s="10">
        <v>482</v>
      </c>
      <c r="Z59" s="14">
        <v>0.06821398245117465</v>
      </c>
      <c r="AA59" s="14"/>
      <c r="AB59" s="10"/>
      <c r="AC59" s="14"/>
      <c r="AD59" s="9">
        <v>706457.34</v>
      </c>
      <c r="AE59" s="14">
        <v>0.014103295729710716</v>
      </c>
      <c r="AF59" s="10">
        <v>652</v>
      </c>
      <c r="AG59" s="14">
        <v>0.08221941992433796</v>
      </c>
      <c r="AH59" s="14"/>
      <c r="AI59" s="10"/>
      <c r="AJ59" s="14"/>
      <c r="AK59" s="9">
        <v>899566.420000001</v>
      </c>
      <c r="AL59" s="14">
        <v>0.016046809306816914</v>
      </c>
      <c r="AM59" s="10">
        <v>869</v>
      </c>
      <c r="AN59" s="14">
        <v>0.0961708720672864</v>
      </c>
      <c r="AO59" s="14"/>
      <c r="AP59" s="10"/>
      <c r="AQ59" s="14"/>
      <c r="AR59" s="9">
        <v>1223063.43</v>
      </c>
      <c r="AS59" s="14">
        <v>0.018098455924010905</v>
      </c>
      <c r="AT59" s="10">
        <v>1190</v>
      </c>
      <c r="AU59" s="14">
        <v>0.10759493670886076</v>
      </c>
      <c r="AV59" s="14"/>
      <c r="AW59" s="10"/>
      <c r="AX59" s="14"/>
      <c r="AY59" s="9">
        <v>1405101.08</v>
      </c>
      <c r="AZ59" s="14">
        <v>0.019301955401091312</v>
      </c>
      <c r="BA59" s="10">
        <v>1466</v>
      </c>
      <c r="BB59" s="14">
        <v>0.12057904260569173</v>
      </c>
      <c r="BC59" s="14"/>
      <c r="BD59" s="10"/>
      <c r="BE59" s="9">
        <v>1492020.33</v>
      </c>
      <c r="BF59" s="14">
        <v>0.023115543969599625</v>
      </c>
      <c r="BG59" s="10">
        <v>1248</v>
      </c>
      <c r="BH59" s="14">
        <v>0.11261505143475907</v>
      </c>
      <c r="BI59" s="14"/>
      <c r="BJ59" s="10"/>
      <c r="BK59" s="14"/>
      <c r="BL59" s="9">
        <v>1535910.05</v>
      </c>
      <c r="BM59" s="14">
        <v>0.027464329506273998</v>
      </c>
      <c r="BN59" s="10">
        <v>1344</v>
      </c>
      <c r="BO59" s="14">
        <v>0.1318422601530312</v>
      </c>
      <c r="BP59" s="14"/>
      <c r="BQ59" s="10"/>
      <c r="BR59" s="14"/>
      <c r="BS59" s="9">
        <v>1684442.34</v>
      </c>
      <c r="BT59" s="14">
        <v>0.0313692319360884</v>
      </c>
      <c r="BU59" s="10">
        <v>1499</v>
      </c>
      <c r="BV59" s="14">
        <v>0.14868081729815513</v>
      </c>
      <c r="BW59" s="14"/>
      <c r="BX59" s="10"/>
      <c r="BY59" s="14"/>
      <c r="BZ59" s="9">
        <v>1846478.06</v>
      </c>
      <c r="CA59" s="14">
        <v>0.034849270432933364</v>
      </c>
      <c r="CB59" s="10">
        <v>1592</v>
      </c>
      <c r="CC59" s="14">
        <v>0.16113360323886639</v>
      </c>
      <c r="CD59" s="14"/>
      <c r="CE59" s="10"/>
      <c r="CF59" s="14"/>
      <c r="CG59" s="9">
        <v>2035628.71</v>
      </c>
      <c r="CH59" s="14">
        <v>0.03953432985526842</v>
      </c>
      <c r="CI59" s="10">
        <v>1736</v>
      </c>
      <c r="CJ59" s="14">
        <v>0.18446498778025713</v>
      </c>
      <c r="CK59" s="14"/>
      <c r="CL59" s="10"/>
      <c r="CM59" s="14"/>
      <c r="CN59" s="9">
        <v>2180104.15</v>
      </c>
      <c r="CO59" s="14">
        <v>0.04776189034898752</v>
      </c>
      <c r="CP59" s="10">
        <v>1833</v>
      </c>
      <c r="CQ59" s="14">
        <v>0.2164875398606354</v>
      </c>
      <c r="CR59" s="14"/>
      <c r="CS59" s="10"/>
      <c r="CT59" s="14"/>
      <c r="CU59" s="9">
        <v>3803902.8399999887</v>
      </c>
      <c r="CV59" s="14">
        <v>0.053108238006305604</v>
      </c>
      <c r="CW59" s="10">
        <v>3497</v>
      </c>
      <c r="CX59" s="14">
        <v>0.259826138643287</v>
      </c>
      <c r="CY59" s="14"/>
      <c r="CZ59" s="10"/>
      <c r="DA59" s="14"/>
    </row>
    <row r="60" spans="1:105" ht="12.75">
      <c r="A60" s="8" t="s">
        <v>18</v>
      </c>
      <c r="B60" s="8"/>
      <c r="C60" s="8"/>
      <c r="D60" s="9">
        <v>1762721.99</v>
      </c>
      <c r="E60" s="14">
        <f>+D60/$D$74</f>
        <v>0.06674562941774459</v>
      </c>
      <c r="F60" s="10">
        <v>552</v>
      </c>
      <c r="G60" s="14">
        <f>+F60/$F$74</f>
        <v>0.15544916924809912</v>
      </c>
      <c r="H60" s="14"/>
      <c r="I60" s="9">
        <v>1828901.23</v>
      </c>
      <c r="J60" s="14">
        <f>+I60/$I$74</f>
        <v>0.07516630395884086</v>
      </c>
      <c r="K60" s="10">
        <v>578</v>
      </c>
      <c r="L60" s="14">
        <f>+K60/$K$74</f>
        <v>0.1678281068524971</v>
      </c>
      <c r="M60" s="14"/>
      <c r="N60" s="10"/>
      <c r="O60" s="14"/>
      <c r="P60" s="9">
        <v>3222468.53</v>
      </c>
      <c r="Q60" s="14">
        <v>0.0849191341103689</v>
      </c>
      <c r="R60" s="10">
        <v>1018</v>
      </c>
      <c r="S60" s="14">
        <v>0.1809456096693921</v>
      </c>
      <c r="T60" s="14"/>
      <c r="U60" s="10"/>
      <c r="V60" s="14"/>
      <c r="W60" s="9">
        <v>4294919.08</v>
      </c>
      <c r="X60" s="14">
        <v>0.09208067105937277</v>
      </c>
      <c r="Y60" s="10">
        <v>1384</v>
      </c>
      <c r="Z60" s="14">
        <v>0.19586753467308238</v>
      </c>
      <c r="AA60" s="14"/>
      <c r="AB60" s="10"/>
      <c r="AC60" s="14"/>
      <c r="AD60" s="9">
        <v>4972757.01000001</v>
      </c>
      <c r="AE60" s="14">
        <v>0.0992731743774114</v>
      </c>
      <c r="AF60" s="10">
        <v>1613</v>
      </c>
      <c r="AG60" s="14">
        <v>0.2034047919293821</v>
      </c>
      <c r="AH60" s="14"/>
      <c r="AI60" s="10"/>
      <c r="AJ60" s="14"/>
      <c r="AK60" s="9">
        <v>5533517.970000004</v>
      </c>
      <c r="AL60" s="14">
        <v>0.09870900656833613</v>
      </c>
      <c r="AM60" s="10">
        <v>1806</v>
      </c>
      <c r="AN60" s="14">
        <v>0.199867197875166</v>
      </c>
      <c r="AO60" s="14"/>
      <c r="AP60" s="10"/>
      <c r="AQ60" s="14"/>
      <c r="AR60" s="9">
        <v>6732576.3</v>
      </c>
      <c r="AS60" s="14">
        <v>0.09962626012012332</v>
      </c>
      <c r="AT60" s="10">
        <v>2171</v>
      </c>
      <c r="AU60" s="14">
        <v>0.19629294755877033</v>
      </c>
      <c r="AV60" s="14"/>
      <c r="AW60" s="10"/>
      <c r="AX60" s="14"/>
      <c r="AY60" s="9">
        <v>7918611.750000006</v>
      </c>
      <c r="AZ60" s="14">
        <v>0.10877843097028862</v>
      </c>
      <c r="BA60" s="10">
        <v>2553</v>
      </c>
      <c r="BB60" s="14">
        <v>0.2099851949333772</v>
      </c>
      <c r="BC60" s="14"/>
      <c r="BD60" s="10"/>
      <c r="BE60" s="9">
        <v>8453757.729999986</v>
      </c>
      <c r="BF60" s="14">
        <v>0.1309722157178363</v>
      </c>
      <c r="BG60" s="10">
        <v>2709</v>
      </c>
      <c r="BH60" s="14">
        <v>0.24445046020573905</v>
      </c>
      <c r="BI60" s="14"/>
      <c r="BJ60" s="10"/>
      <c r="BK60" s="14"/>
      <c r="BL60" s="9">
        <v>8351534.009999998</v>
      </c>
      <c r="BM60" s="14">
        <v>0.14933770498701643</v>
      </c>
      <c r="BN60" s="10">
        <v>2699</v>
      </c>
      <c r="BO60" s="14">
        <v>0.2647635864233863</v>
      </c>
      <c r="BP60" s="14"/>
      <c r="BQ60" s="10"/>
      <c r="BR60" s="14"/>
      <c r="BS60" s="9">
        <v>8955361.4</v>
      </c>
      <c r="BT60" s="14">
        <v>0.1667749629400157</v>
      </c>
      <c r="BU60" s="10">
        <v>2934</v>
      </c>
      <c r="BV60" s="14">
        <v>0.291013687760365</v>
      </c>
      <c r="BW60" s="14"/>
      <c r="BX60" s="10"/>
      <c r="BY60" s="14"/>
      <c r="BZ60" s="9">
        <v>9242179.300000025</v>
      </c>
      <c r="CA60" s="14">
        <v>0.17443110361969832</v>
      </c>
      <c r="CB60" s="10">
        <v>3059</v>
      </c>
      <c r="CC60" s="14">
        <v>0.3096153846153846</v>
      </c>
      <c r="CD60" s="14"/>
      <c r="CE60" s="10"/>
      <c r="CF60" s="14"/>
      <c r="CG60" s="9">
        <v>8910843.800000029</v>
      </c>
      <c r="CH60" s="14">
        <v>0.1730591813464718</v>
      </c>
      <c r="CI60" s="10">
        <v>2965</v>
      </c>
      <c r="CJ60" s="14">
        <v>0.31505684836893</v>
      </c>
      <c r="CK60" s="14"/>
      <c r="CL60" s="10"/>
      <c r="CM60" s="14"/>
      <c r="CN60" s="9">
        <v>8033259.129999992</v>
      </c>
      <c r="CO60" s="14">
        <v>0.17599326239164428</v>
      </c>
      <c r="CP60" s="10">
        <v>2685</v>
      </c>
      <c r="CQ60" s="14">
        <v>0.31711349946852485</v>
      </c>
      <c r="CR60" s="14"/>
      <c r="CS60" s="10"/>
      <c r="CT60" s="14"/>
      <c r="CU60" s="9">
        <v>11880906.839999996</v>
      </c>
      <c r="CV60" s="14">
        <v>0.16587543234660165</v>
      </c>
      <c r="CW60" s="10">
        <v>4005</v>
      </c>
      <c r="CX60" s="14">
        <v>0.29757039898952375</v>
      </c>
      <c r="CY60" s="14"/>
      <c r="CZ60" s="10"/>
      <c r="DA60" s="14"/>
    </row>
    <row r="61" spans="1:105" ht="12.75">
      <c r="A61" s="8" t="s">
        <v>19</v>
      </c>
      <c r="B61" s="8"/>
      <c r="C61" s="8"/>
      <c r="D61" s="9">
        <v>4885313.28</v>
      </c>
      <c r="E61" s="14">
        <f aca="true" t="shared" si="4" ref="E61:E72">+D61/$D$74</f>
        <v>0.18498283429054307</v>
      </c>
      <c r="F61" s="10">
        <v>965</v>
      </c>
      <c r="G61" s="14">
        <f aca="true" t="shared" si="5" ref="G61:G72">+F61/$F$74</f>
        <v>0.27175443537031824</v>
      </c>
      <c r="H61" s="14"/>
      <c r="I61" s="9">
        <v>4989559.57</v>
      </c>
      <c r="J61" s="14">
        <f aca="true" t="shared" si="6" ref="J61:J72">+I61/$I$74</f>
        <v>0.20506670623178666</v>
      </c>
      <c r="K61" s="10">
        <v>989</v>
      </c>
      <c r="L61" s="14">
        <f aca="true" t="shared" si="7" ref="L61:L72">+K61/$K$74</f>
        <v>0.2871660859465738</v>
      </c>
      <c r="M61" s="14"/>
      <c r="N61" s="10"/>
      <c r="O61" s="14"/>
      <c r="P61" s="9">
        <v>8090743.359999994</v>
      </c>
      <c r="Q61" s="14">
        <v>0.21320888444499903</v>
      </c>
      <c r="R61" s="10">
        <v>1599</v>
      </c>
      <c r="S61" s="14">
        <v>0.28421613935300394</v>
      </c>
      <c r="T61" s="14"/>
      <c r="U61" s="10"/>
      <c r="V61" s="14"/>
      <c r="W61" s="9">
        <v>10103421.17000002</v>
      </c>
      <c r="X61" s="14">
        <v>0.21661171817213246</v>
      </c>
      <c r="Y61" s="10">
        <v>2004</v>
      </c>
      <c r="Z61" s="14">
        <v>0.2836116614774979</v>
      </c>
      <c r="AA61" s="14"/>
      <c r="AB61" s="10"/>
      <c r="AC61" s="14"/>
      <c r="AD61" s="9">
        <v>11016666.93</v>
      </c>
      <c r="AE61" s="14">
        <v>0.21993021074636207</v>
      </c>
      <c r="AF61" s="10">
        <v>2206</v>
      </c>
      <c r="AG61" s="14">
        <v>0.2781841109709962</v>
      </c>
      <c r="AH61" s="14"/>
      <c r="AI61" s="10"/>
      <c r="AJ61" s="14"/>
      <c r="AK61" s="9">
        <v>12347602.959999988</v>
      </c>
      <c r="AL61" s="14">
        <v>0.22026125663451032</v>
      </c>
      <c r="AM61" s="10">
        <v>2489</v>
      </c>
      <c r="AN61" s="14">
        <v>0.27545374059318284</v>
      </c>
      <c r="AO61" s="14"/>
      <c r="AP61" s="10"/>
      <c r="AQ61" s="14"/>
      <c r="AR61" s="9">
        <v>15376390.080000028</v>
      </c>
      <c r="AS61" s="14">
        <v>0.22753433003329895</v>
      </c>
      <c r="AT61" s="10">
        <v>3096</v>
      </c>
      <c r="AU61" s="14">
        <v>0.2799276672694394</v>
      </c>
      <c r="AV61" s="14"/>
      <c r="AW61" s="10"/>
      <c r="AX61" s="14"/>
      <c r="AY61" s="9">
        <v>16537797.510000031</v>
      </c>
      <c r="AZ61" s="14">
        <v>0.22718068793335502</v>
      </c>
      <c r="BA61" s="10">
        <v>3342</v>
      </c>
      <c r="BB61" s="14">
        <v>0.27488073696331633</v>
      </c>
      <c r="BC61" s="14"/>
      <c r="BD61" s="10"/>
      <c r="BE61" s="9">
        <v>14948274.999999978</v>
      </c>
      <c r="BF61" s="14">
        <v>0.23159034839167786</v>
      </c>
      <c r="BG61" s="10">
        <v>3023</v>
      </c>
      <c r="BH61" s="14">
        <v>0.27278469590326654</v>
      </c>
      <c r="BI61" s="14"/>
      <c r="BJ61" s="10"/>
      <c r="BK61" s="14"/>
      <c r="BL61" s="9">
        <v>13771136.67000001</v>
      </c>
      <c r="BM61" s="14">
        <v>0.2462481674501791</v>
      </c>
      <c r="BN61" s="10">
        <v>2793</v>
      </c>
      <c r="BO61" s="14">
        <v>0.27398469688051796</v>
      </c>
      <c r="BP61" s="14"/>
      <c r="BQ61" s="10"/>
      <c r="BR61" s="14"/>
      <c r="BS61" s="9">
        <v>12832033.749999989</v>
      </c>
      <c r="BT61" s="14">
        <v>0.23896991506130383</v>
      </c>
      <c r="BU61" s="10">
        <v>2613</v>
      </c>
      <c r="BV61" s="14">
        <v>0.2591747669113271</v>
      </c>
      <c r="BW61" s="14"/>
      <c r="BX61" s="10"/>
      <c r="BY61" s="14"/>
      <c r="BZ61" s="9">
        <v>11585930.119999992</v>
      </c>
      <c r="CA61" s="14">
        <v>0.2186655886769365</v>
      </c>
      <c r="CB61" s="10">
        <v>2374</v>
      </c>
      <c r="CC61" s="14">
        <v>0.2402834008097166</v>
      </c>
      <c r="CD61" s="14"/>
      <c r="CE61" s="10"/>
      <c r="CF61" s="14"/>
      <c r="CG61" s="9">
        <v>10112975.43999998</v>
      </c>
      <c r="CH61" s="14">
        <v>0.19640600709703457</v>
      </c>
      <c r="CI61" s="10">
        <v>2062</v>
      </c>
      <c r="CJ61" s="14">
        <v>0.21910530230581235</v>
      </c>
      <c r="CK61" s="14"/>
      <c r="CL61" s="10"/>
      <c r="CM61" s="14"/>
      <c r="CN61" s="9">
        <v>8492078.650000008</v>
      </c>
      <c r="CO61" s="14">
        <v>0.186045115925438</v>
      </c>
      <c r="CP61" s="10">
        <v>1725</v>
      </c>
      <c r="CQ61" s="14">
        <v>0.20373213653005787</v>
      </c>
      <c r="CR61" s="14"/>
      <c r="CS61" s="10"/>
      <c r="CT61" s="14"/>
      <c r="CU61" s="9">
        <v>12565682.570000008</v>
      </c>
      <c r="CV61" s="14">
        <v>0.17543593743294672</v>
      </c>
      <c r="CW61" s="10">
        <v>2566</v>
      </c>
      <c r="CX61" s="14">
        <v>0.19065309458355004</v>
      </c>
      <c r="CY61" s="14"/>
      <c r="CZ61" s="10"/>
      <c r="DA61" s="14"/>
    </row>
    <row r="62" spans="1:105" ht="12.75">
      <c r="A62" s="8" t="s">
        <v>20</v>
      </c>
      <c r="B62" s="8"/>
      <c r="C62" s="8"/>
      <c r="D62" s="9">
        <v>5344019.26</v>
      </c>
      <c r="E62" s="14">
        <f t="shared" si="4"/>
        <v>0.20235177818894157</v>
      </c>
      <c r="F62" s="10">
        <v>772</v>
      </c>
      <c r="G62" s="14">
        <f t="shared" si="5"/>
        <v>0.21740354829625458</v>
      </c>
      <c r="H62" s="14"/>
      <c r="I62" s="9">
        <v>4770743.3699999945</v>
      </c>
      <c r="J62" s="14">
        <f t="shared" si="6"/>
        <v>0.1960735442553365</v>
      </c>
      <c r="K62" s="10">
        <v>688</v>
      </c>
      <c r="L62" s="14">
        <f t="shared" si="7"/>
        <v>0.1997677119628339</v>
      </c>
      <c r="M62" s="14"/>
      <c r="N62" s="10"/>
      <c r="O62" s="14"/>
      <c r="P62" s="9">
        <v>8389895.60999999</v>
      </c>
      <c r="Q62" s="14">
        <v>0.22109220426664156</v>
      </c>
      <c r="R62" s="10">
        <v>1211</v>
      </c>
      <c r="S62" s="14">
        <v>0.2152506221116246</v>
      </c>
      <c r="T62" s="14"/>
      <c r="U62" s="10"/>
      <c r="V62" s="14"/>
      <c r="W62" s="9">
        <v>9520105.489999998</v>
      </c>
      <c r="X62" s="14">
        <v>0.2041057551368856</v>
      </c>
      <c r="Y62" s="10">
        <v>1369</v>
      </c>
      <c r="Z62" s="14">
        <v>0.19374469289555618</v>
      </c>
      <c r="AA62" s="14"/>
      <c r="AB62" s="10"/>
      <c r="AC62" s="14"/>
      <c r="AD62" s="9">
        <v>10688344.639999982</v>
      </c>
      <c r="AE62" s="14">
        <v>0.21337577909373587</v>
      </c>
      <c r="AF62" s="10">
        <v>1544</v>
      </c>
      <c r="AG62" s="14">
        <v>0.19470365699873896</v>
      </c>
      <c r="AH62" s="14"/>
      <c r="AI62" s="10"/>
      <c r="AJ62" s="14"/>
      <c r="AK62" s="9">
        <v>11840554.630000003</v>
      </c>
      <c r="AL62" s="14">
        <v>0.21121633490338373</v>
      </c>
      <c r="AM62" s="10">
        <v>1714</v>
      </c>
      <c r="AN62" s="14">
        <v>0.18968570163789286</v>
      </c>
      <c r="AO62" s="14"/>
      <c r="AP62" s="10"/>
      <c r="AQ62" s="14"/>
      <c r="AR62" s="9">
        <v>14157140.549999984</v>
      </c>
      <c r="AS62" s="14">
        <v>0.20949231083967726</v>
      </c>
      <c r="AT62" s="10">
        <v>2043</v>
      </c>
      <c r="AU62" s="14">
        <v>0.18471971066907775</v>
      </c>
      <c r="AV62" s="14"/>
      <c r="AW62" s="10"/>
      <c r="AX62" s="14"/>
      <c r="AY62" s="9">
        <v>14809028.320000036</v>
      </c>
      <c r="AZ62" s="14">
        <v>0.2034324848473815</v>
      </c>
      <c r="BA62" s="10">
        <v>2139</v>
      </c>
      <c r="BB62" s="14">
        <v>0.17593354170093767</v>
      </c>
      <c r="BC62" s="14"/>
      <c r="BD62" s="10"/>
      <c r="BE62" s="9">
        <v>13049941.579999985</v>
      </c>
      <c r="BF62" s="14">
        <v>0.20217988476952986</v>
      </c>
      <c r="BG62" s="10">
        <v>1891</v>
      </c>
      <c r="BH62" s="14">
        <v>0.17063706912109727</v>
      </c>
      <c r="BI62" s="14"/>
      <c r="BJ62" s="10"/>
      <c r="BK62" s="14"/>
      <c r="BL62" s="9">
        <v>10868873.310000012</v>
      </c>
      <c r="BM62" s="14">
        <v>0.1943514321999437</v>
      </c>
      <c r="BN62" s="10">
        <v>1574</v>
      </c>
      <c r="BO62" s="14">
        <v>0.1544045516970767</v>
      </c>
      <c r="BP62" s="14"/>
      <c r="BQ62" s="10"/>
      <c r="BR62" s="14"/>
      <c r="BS62" s="9">
        <v>9905174.759999994</v>
      </c>
      <c r="BT62" s="14">
        <v>0.18446325946302713</v>
      </c>
      <c r="BU62" s="10">
        <v>1435</v>
      </c>
      <c r="BV62" s="14">
        <v>0.14233287046220988</v>
      </c>
      <c r="BW62" s="14"/>
      <c r="BX62" s="10"/>
      <c r="BY62" s="14"/>
      <c r="BZ62" s="9">
        <v>8738400.749999996</v>
      </c>
      <c r="CA62" s="14">
        <v>0.16492310278958716</v>
      </c>
      <c r="CB62" s="10">
        <v>1272</v>
      </c>
      <c r="CC62" s="14">
        <v>0.12874493927125505</v>
      </c>
      <c r="CD62" s="14"/>
      <c r="CE62" s="10"/>
      <c r="CF62" s="14"/>
      <c r="CG62" s="9">
        <v>7570558.610000001</v>
      </c>
      <c r="CH62" s="14">
        <v>0.1470292493941011</v>
      </c>
      <c r="CI62" s="10">
        <v>1100</v>
      </c>
      <c r="CJ62" s="14">
        <v>0.11688449686537031</v>
      </c>
      <c r="CK62" s="14"/>
      <c r="CL62" s="10"/>
      <c r="CM62" s="14"/>
      <c r="CN62" s="9">
        <v>6029888.080000002</v>
      </c>
      <c r="CO62" s="14">
        <v>0.1321032544677405</v>
      </c>
      <c r="CP62" s="10">
        <v>877</v>
      </c>
      <c r="CQ62" s="14">
        <v>0.10357859926774536</v>
      </c>
      <c r="CR62" s="14"/>
      <c r="CS62" s="10"/>
      <c r="CT62" s="14"/>
      <c r="CU62" s="9">
        <v>7907404.289999999</v>
      </c>
      <c r="CV62" s="14">
        <v>0.11039932582647226</v>
      </c>
      <c r="CW62" s="10">
        <v>1156</v>
      </c>
      <c r="CX62" s="14">
        <v>0.08589048220521583</v>
      </c>
      <c r="CY62" s="14"/>
      <c r="CZ62" s="10"/>
      <c r="DA62" s="14"/>
    </row>
    <row r="63" spans="1:105" ht="12.75">
      <c r="A63" s="8" t="s">
        <v>21</v>
      </c>
      <c r="B63" s="8"/>
      <c r="C63" s="8"/>
      <c r="D63" s="9">
        <v>4426680.7</v>
      </c>
      <c r="E63" s="14">
        <f t="shared" si="4"/>
        <v>0.16761666968985975</v>
      </c>
      <c r="F63" s="10">
        <v>497</v>
      </c>
      <c r="G63" s="14">
        <f t="shared" si="5"/>
        <v>0.13996057448606025</v>
      </c>
      <c r="H63" s="14"/>
      <c r="I63" s="9">
        <v>4106964.43</v>
      </c>
      <c r="J63" s="14">
        <f t="shared" si="6"/>
        <v>0.16879278751074359</v>
      </c>
      <c r="K63" s="10">
        <v>462</v>
      </c>
      <c r="L63" s="14">
        <f t="shared" si="7"/>
        <v>0.13414634146341464</v>
      </c>
      <c r="M63" s="14"/>
      <c r="N63" s="10"/>
      <c r="O63" s="14"/>
      <c r="P63" s="9">
        <v>5913835.510000008</v>
      </c>
      <c r="Q63" s="14">
        <v>0.15584257413379685</v>
      </c>
      <c r="R63" s="10">
        <v>664</v>
      </c>
      <c r="S63" s="14">
        <v>0.11802346249555634</v>
      </c>
      <c r="T63" s="14"/>
      <c r="U63" s="10"/>
      <c r="V63" s="14"/>
      <c r="W63" s="9">
        <v>7073164.180000003</v>
      </c>
      <c r="X63" s="14">
        <v>0.15164469739148567</v>
      </c>
      <c r="Y63" s="10">
        <v>794</v>
      </c>
      <c r="Z63" s="14">
        <v>0.11236909142371922</v>
      </c>
      <c r="AA63" s="14"/>
      <c r="AB63" s="10"/>
      <c r="AC63" s="14"/>
      <c r="AD63" s="9">
        <v>7525389.66999999</v>
      </c>
      <c r="AE63" s="14">
        <v>0.1502324202581292</v>
      </c>
      <c r="AF63" s="10">
        <v>846</v>
      </c>
      <c r="AG63" s="14">
        <v>0.10668348045397226</v>
      </c>
      <c r="AH63" s="14"/>
      <c r="AI63" s="10"/>
      <c r="AJ63" s="14"/>
      <c r="AK63" s="9">
        <v>8614331.210000003</v>
      </c>
      <c r="AL63" s="14">
        <v>0.15366572957740166</v>
      </c>
      <c r="AM63" s="10">
        <v>971</v>
      </c>
      <c r="AN63" s="14">
        <v>0.10745905267817618</v>
      </c>
      <c r="AO63" s="14"/>
      <c r="AP63" s="10"/>
      <c r="AQ63" s="14"/>
      <c r="AR63" s="9">
        <v>10650880.999999996</v>
      </c>
      <c r="AS63" s="14">
        <v>0.15760793398130207</v>
      </c>
      <c r="AT63" s="10">
        <v>1198</v>
      </c>
      <c r="AU63" s="14">
        <v>0.10831826401446655</v>
      </c>
      <c r="AV63" s="14"/>
      <c r="AW63" s="10"/>
      <c r="AX63" s="14"/>
      <c r="AY63" s="9">
        <v>10724472.549999997</v>
      </c>
      <c r="AZ63" s="14">
        <v>0.1473227042572114</v>
      </c>
      <c r="BA63" s="10">
        <v>1204</v>
      </c>
      <c r="BB63" s="14">
        <v>0.09902944563250535</v>
      </c>
      <c r="BC63" s="14"/>
      <c r="BD63" s="10"/>
      <c r="BE63" s="9">
        <v>8992404.489999995</v>
      </c>
      <c r="BF63" s="14">
        <v>0.13931735191639102</v>
      </c>
      <c r="BG63" s="10">
        <v>1011</v>
      </c>
      <c r="BH63" s="14">
        <v>0.0912290200324851</v>
      </c>
      <c r="BI63" s="14"/>
      <c r="BJ63" s="10"/>
      <c r="BK63" s="14"/>
      <c r="BL63" s="9">
        <v>7373706.140000007</v>
      </c>
      <c r="BM63" s="14">
        <v>0.1318527052488496</v>
      </c>
      <c r="BN63" s="10">
        <v>832</v>
      </c>
      <c r="BO63" s="14">
        <v>0.08161663723759074</v>
      </c>
      <c r="BP63" s="14"/>
      <c r="BQ63" s="10"/>
      <c r="BR63" s="14"/>
      <c r="BS63" s="9">
        <v>6033829.439999995</v>
      </c>
      <c r="BT63" s="14">
        <v>0.1123675121857589</v>
      </c>
      <c r="BU63" s="10">
        <v>681</v>
      </c>
      <c r="BV63" s="14">
        <v>0.06754612180122992</v>
      </c>
      <c r="BW63" s="14"/>
      <c r="BX63" s="10"/>
      <c r="BY63" s="14"/>
      <c r="BZ63" s="9">
        <v>5307914.19</v>
      </c>
      <c r="CA63" s="14">
        <v>0.10017824801130551</v>
      </c>
      <c r="CB63" s="10">
        <v>601</v>
      </c>
      <c r="CC63" s="14">
        <v>0.06082995951417004</v>
      </c>
      <c r="CD63" s="14"/>
      <c r="CE63" s="10"/>
      <c r="CF63" s="14"/>
      <c r="CG63" s="9">
        <v>4409189.86</v>
      </c>
      <c r="CH63" s="14">
        <v>0.08563170948779979</v>
      </c>
      <c r="CI63" s="10">
        <v>497</v>
      </c>
      <c r="CJ63" s="14">
        <v>0.052810540856444585</v>
      </c>
      <c r="CK63" s="14"/>
      <c r="CL63" s="10"/>
      <c r="CM63" s="14"/>
      <c r="CN63" s="9">
        <v>3236179.59</v>
      </c>
      <c r="CO63" s="14">
        <v>0.07089847277581279</v>
      </c>
      <c r="CP63" s="10">
        <v>361</v>
      </c>
      <c r="CQ63" s="14">
        <v>0.042636116688319355</v>
      </c>
      <c r="CR63" s="14"/>
      <c r="CS63" s="10"/>
      <c r="CT63" s="14"/>
      <c r="CU63" s="9">
        <v>5383710.699999997</v>
      </c>
      <c r="CV63" s="14">
        <v>0.07516474558868987</v>
      </c>
      <c r="CW63" s="10">
        <v>602</v>
      </c>
      <c r="CX63" s="14">
        <v>0.04472843450479233</v>
      </c>
      <c r="CY63" s="14"/>
      <c r="CZ63" s="10"/>
      <c r="DA63" s="14"/>
    </row>
    <row r="64" spans="1:105" ht="12.75">
      <c r="A64" s="8" t="s">
        <v>22</v>
      </c>
      <c r="B64" s="8"/>
      <c r="C64" s="8"/>
      <c r="D64" s="9">
        <v>2595152.83</v>
      </c>
      <c r="E64" s="14">
        <f t="shared" si="4"/>
        <v>0.09826569933106193</v>
      </c>
      <c r="F64" s="10">
        <v>239</v>
      </c>
      <c r="G64" s="14">
        <f t="shared" si="5"/>
        <v>0.06730498451140524</v>
      </c>
      <c r="H64" s="14"/>
      <c r="I64" s="9">
        <v>2085489.65</v>
      </c>
      <c r="J64" s="14">
        <f t="shared" si="6"/>
        <v>0.0857118724420764</v>
      </c>
      <c r="K64" s="10">
        <v>192</v>
      </c>
      <c r="L64" s="14">
        <f t="shared" si="7"/>
        <v>0.05574912891986063</v>
      </c>
      <c r="M64" s="14"/>
      <c r="N64" s="10"/>
      <c r="O64" s="14"/>
      <c r="P64" s="9">
        <v>3489386.77</v>
      </c>
      <c r="Q64" s="14">
        <v>0.09195301686455166</v>
      </c>
      <c r="R64" s="10">
        <v>320</v>
      </c>
      <c r="S64" s="14">
        <v>0.056878777106292217</v>
      </c>
      <c r="T64" s="14"/>
      <c r="U64" s="10"/>
      <c r="V64" s="14"/>
      <c r="W64" s="9">
        <v>4379593.97</v>
      </c>
      <c r="X64" s="14">
        <v>0.09389605350263837</v>
      </c>
      <c r="Y64" s="10">
        <v>402</v>
      </c>
      <c r="Z64" s="14">
        <v>0.05689215963770167</v>
      </c>
      <c r="AA64" s="14"/>
      <c r="AB64" s="10"/>
      <c r="AC64" s="14"/>
      <c r="AD64" s="9">
        <v>4950329.32</v>
      </c>
      <c r="AE64" s="14">
        <v>0.09882544126361233</v>
      </c>
      <c r="AF64" s="10">
        <v>454</v>
      </c>
      <c r="AG64" s="14">
        <v>0.05725094577553594</v>
      </c>
      <c r="AH64" s="14"/>
      <c r="AI64" s="10"/>
      <c r="AJ64" s="14"/>
      <c r="AK64" s="9">
        <v>5391090.669999999</v>
      </c>
      <c r="AL64" s="14">
        <v>0.09616833400389682</v>
      </c>
      <c r="AM64" s="10">
        <v>497</v>
      </c>
      <c r="AN64" s="14">
        <v>0.055002213368747235</v>
      </c>
      <c r="AO64" s="14"/>
      <c r="AP64" s="10"/>
      <c r="AQ64" s="14"/>
      <c r="AR64" s="9">
        <v>6167589.159999996</v>
      </c>
      <c r="AS64" s="14">
        <v>0.09126578215952971</v>
      </c>
      <c r="AT64" s="10">
        <v>567</v>
      </c>
      <c r="AU64" s="14">
        <v>0.05126582278481013</v>
      </c>
      <c r="AV64" s="14"/>
      <c r="AW64" s="10"/>
      <c r="AX64" s="14"/>
      <c r="AY64" s="9">
        <v>6094129.039999999</v>
      </c>
      <c r="AZ64" s="14">
        <v>0.08371540568353673</v>
      </c>
      <c r="BA64" s="10">
        <v>559</v>
      </c>
      <c r="BB64" s="14">
        <v>0.045977956900806055</v>
      </c>
      <c r="BC64" s="14"/>
      <c r="BD64" s="10"/>
      <c r="BE64" s="9">
        <v>5009377.02</v>
      </c>
      <c r="BF64" s="14">
        <v>0.07760918027578875</v>
      </c>
      <c r="BG64" s="10">
        <v>460</v>
      </c>
      <c r="BH64" s="14">
        <v>0.04150875293268363</v>
      </c>
      <c r="BI64" s="14"/>
      <c r="BJ64" s="10"/>
      <c r="BK64" s="14"/>
      <c r="BL64" s="9">
        <v>3883666.26</v>
      </c>
      <c r="BM64" s="14">
        <v>0.06944566178015359</v>
      </c>
      <c r="BN64" s="10">
        <v>356</v>
      </c>
      <c r="BO64" s="14">
        <v>0.03492250343339219</v>
      </c>
      <c r="BP64" s="14"/>
      <c r="BQ64" s="10"/>
      <c r="BR64" s="14"/>
      <c r="BS64" s="9">
        <v>3612439.68</v>
      </c>
      <c r="BT64" s="14">
        <v>0.06727416871808686</v>
      </c>
      <c r="BU64" s="10">
        <v>329</v>
      </c>
      <c r="BV64" s="14">
        <v>0.032632414203531045</v>
      </c>
      <c r="BW64" s="14"/>
      <c r="BX64" s="10"/>
      <c r="BY64" s="14"/>
      <c r="BZ64" s="9">
        <v>3339346.71</v>
      </c>
      <c r="CA64" s="14">
        <v>0.06302473833137025</v>
      </c>
      <c r="CB64" s="10">
        <v>306</v>
      </c>
      <c r="CC64" s="14">
        <v>0.03097165991902834</v>
      </c>
      <c r="CD64" s="14"/>
      <c r="CE64" s="10"/>
      <c r="CF64" s="14"/>
      <c r="CG64" s="9">
        <v>3043128.44</v>
      </c>
      <c r="CH64" s="14">
        <v>0.05910117250159449</v>
      </c>
      <c r="CI64" s="10">
        <v>278</v>
      </c>
      <c r="CJ64" s="14">
        <v>0.029539900116884496</v>
      </c>
      <c r="CK64" s="14"/>
      <c r="CL64" s="10"/>
      <c r="CM64" s="14"/>
      <c r="CN64" s="9">
        <v>2637862.56</v>
      </c>
      <c r="CO64" s="14">
        <v>0.05779049700282418</v>
      </c>
      <c r="CP64" s="10">
        <v>242</v>
      </c>
      <c r="CQ64" s="14">
        <v>0.02858155190740522</v>
      </c>
      <c r="CR64" s="14"/>
      <c r="CS64" s="10"/>
      <c r="CT64" s="14"/>
      <c r="CU64" s="9">
        <v>3827472.75</v>
      </c>
      <c r="CV64" s="14">
        <v>0.053437309605323544</v>
      </c>
      <c r="CW64" s="10">
        <v>350</v>
      </c>
      <c r="CX64" s="14">
        <v>0.026004903781856006</v>
      </c>
      <c r="CY64" s="14"/>
      <c r="CZ64" s="10"/>
      <c r="DA64" s="14"/>
    </row>
    <row r="65" spans="1:105" ht="12.75">
      <c r="A65" s="8" t="s">
        <v>23</v>
      </c>
      <c r="B65" s="8"/>
      <c r="C65" s="8"/>
      <c r="D65" s="9">
        <v>1334364.25</v>
      </c>
      <c r="E65" s="14">
        <f t="shared" si="4"/>
        <v>0.050525824403419795</v>
      </c>
      <c r="F65" s="10">
        <v>103</v>
      </c>
      <c r="G65" s="14">
        <f t="shared" si="5"/>
        <v>0.02900591382709096</v>
      </c>
      <c r="H65" s="14"/>
      <c r="I65" s="9">
        <v>1349781.83</v>
      </c>
      <c r="J65" s="14">
        <f t="shared" si="6"/>
        <v>0.055474899162214715</v>
      </c>
      <c r="K65" s="10">
        <v>104</v>
      </c>
      <c r="L65" s="14">
        <f t="shared" si="7"/>
        <v>0.030197444831591175</v>
      </c>
      <c r="M65" s="14"/>
      <c r="N65" s="10"/>
      <c r="O65" s="14"/>
      <c r="P65" s="9">
        <v>2298478.52</v>
      </c>
      <c r="Q65" s="14">
        <v>0.06056996488021001</v>
      </c>
      <c r="R65" s="10">
        <v>178</v>
      </c>
      <c r="S65" s="14">
        <v>0.03163881976537505</v>
      </c>
      <c r="T65" s="14"/>
      <c r="U65" s="10"/>
      <c r="V65" s="14"/>
      <c r="W65" s="9">
        <v>3111955.28</v>
      </c>
      <c r="X65" s="14">
        <v>0.06671858657908826</v>
      </c>
      <c r="Y65" s="10">
        <v>241</v>
      </c>
      <c r="Z65" s="14">
        <v>0.03410699122558732</v>
      </c>
      <c r="AA65" s="14"/>
      <c r="AB65" s="10"/>
      <c r="AC65" s="14"/>
      <c r="AD65" s="9">
        <v>3048519.4</v>
      </c>
      <c r="AE65" s="14">
        <v>0.060858834924073846</v>
      </c>
      <c r="AF65" s="10">
        <v>236</v>
      </c>
      <c r="AG65" s="14">
        <v>0.029760403530895336</v>
      </c>
      <c r="AH65" s="14"/>
      <c r="AI65" s="10"/>
      <c r="AJ65" s="14"/>
      <c r="AK65" s="9">
        <v>3475031.38</v>
      </c>
      <c r="AL65" s="14">
        <v>0.06198893672583373</v>
      </c>
      <c r="AM65" s="10">
        <v>269</v>
      </c>
      <c r="AN65" s="14">
        <v>0.029769809650287738</v>
      </c>
      <c r="AO65" s="14"/>
      <c r="AP65" s="10"/>
      <c r="AQ65" s="14"/>
      <c r="AR65" s="9">
        <v>3836728.61</v>
      </c>
      <c r="AS65" s="14">
        <v>0.0567745400093244</v>
      </c>
      <c r="AT65" s="10">
        <v>297</v>
      </c>
      <c r="AU65" s="14">
        <v>0.026853526220614828</v>
      </c>
      <c r="AV65" s="14"/>
      <c r="AW65" s="10"/>
      <c r="AX65" s="14"/>
      <c r="AY65" s="9">
        <v>4136490.79</v>
      </c>
      <c r="AZ65" s="14">
        <v>0.0568232149857896</v>
      </c>
      <c r="BA65" s="10">
        <v>320</v>
      </c>
      <c r="BB65" s="14">
        <v>0.02632011844053298</v>
      </c>
      <c r="BC65" s="14"/>
      <c r="BD65" s="10"/>
      <c r="BE65" s="9">
        <v>3366972.74</v>
      </c>
      <c r="BF65" s="14">
        <v>0.05216377072818659</v>
      </c>
      <c r="BG65" s="10">
        <v>261</v>
      </c>
      <c r="BH65" s="14">
        <v>0.023551705468327015</v>
      </c>
      <c r="BI65" s="14"/>
      <c r="BJ65" s="10"/>
      <c r="BK65" s="14"/>
      <c r="BL65" s="9">
        <v>2848503.85</v>
      </c>
      <c r="BM65" s="14">
        <v>0.050935436184098175</v>
      </c>
      <c r="BN65" s="10">
        <v>221</v>
      </c>
      <c r="BO65" s="14">
        <v>0.02167941926623504</v>
      </c>
      <c r="BP65" s="14"/>
      <c r="BQ65" s="10"/>
      <c r="BR65" s="14"/>
      <c r="BS65" s="9">
        <v>2464400.66</v>
      </c>
      <c r="BT65" s="14">
        <v>0.045894331940735535</v>
      </c>
      <c r="BU65" s="10">
        <v>190</v>
      </c>
      <c r="BV65" s="14">
        <v>0.018845467169212458</v>
      </c>
      <c r="BW65" s="14"/>
      <c r="BX65" s="10"/>
      <c r="BY65" s="14"/>
      <c r="BZ65" s="9">
        <v>2532346.65</v>
      </c>
      <c r="CA65" s="14">
        <v>0.04779392463281301</v>
      </c>
      <c r="CB65" s="10">
        <v>196</v>
      </c>
      <c r="CC65" s="14">
        <v>0.019838056680161944</v>
      </c>
      <c r="CD65" s="14"/>
      <c r="CE65" s="10"/>
      <c r="CF65" s="14"/>
      <c r="CG65" s="9">
        <v>2398855.73</v>
      </c>
      <c r="CH65" s="14">
        <v>0.04658863045069778</v>
      </c>
      <c r="CI65" s="10">
        <v>185</v>
      </c>
      <c r="CJ65" s="14">
        <v>0.019657847200085007</v>
      </c>
      <c r="CK65" s="14"/>
      <c r="CL65" s="10"/>
      <c r="CM65" s="14"/>
      <c r="CN65" s="9">
        <v>2430556.85</v>
      </c>
      <c r="CO65" s="14">
        <v>0.053248827473073045</v>
      </c>
      <c r="CP65" s="10">
        <v>187</v>
      </c>
      <c r="CQ65" s="14">
        <v>0.022085744655722217</v>
      </c>
      <c r="CR65" s="14"/>
      <c r="CS65" s="10"/>
      <c r="CT65" s="14"/>
      <c r="CU65" s="9">
        <v>3795812.13</v>
      </c>
      <c r="CV65" s="14">
        <v>0.05299527945547167</v>
      </c>
      <c r="CW65" s="10">
        <v>293</v>
      </c>
      <c r="CX65" s="14">
        <v>0.02176981945166803</v>
      </c>
      <c r="CY65" s="14"/>
      <c r="CZ65" s="10"/>
      <c r="DA65" s="14"/>
    </row>
    <row r="66" spans="1:105" ht="12.75">
      <c r="A66" s="8" t="s">
        <v>24</v>
      </c>
      <c r="B66" s="8"/>
      <c r="C66" s="8"/>
      <c r="D66" s="9">
        <v>1254401.73</v>
      </c>
      <c r="E66" s="14">
        <f t="shared" si="4"/>
        <v>0.04749803626807748</v>
      </c>
      <c r="F66" s="10">
        <v>84</v>
      </c>
      <c r="G66" s="14">
        <f t="shared" si="5"/>
        <v>0.023655308363841172</v>
      </c>
      <c r="H66" s="14"/>
      <c r="I66" s="9">
        <v>983339.39</v>
      </c>
      <c r="J66" s="14">
        <f t="shared" si="6"/>
        <v>0.040414422753404323</v>
      </c>
      <c r="K66" s="10">
        <v>66</v>
      </c>
      <c r="L66" s="14">
        <f t="shared" si="7"/>
        <v>0.01916376306620209</v>
      </c>
      <c r="M66" s="14"/>
      <c r="N66" s="10"/>
      <c r="O66" s="14"/>
      <c r="P66" s="9">
        <v>1648985.8</v>
      </c>
      <c r="Q66" s="14">
        <v>0.04345440304309003</v>
      </c>
      <c r="R66" s="10">
        <v>111</v>
      </c>
      <c r="S66" s="14">
        <v>0.019729825808745112</v>
      </c>
      <c r="T66" s="14"/>
      <c r="U66" s="10"/>
      <c r="V66" s="14"/>
      <c r="W66" s="9">
        <v>1901308.29</v>
      </c>
      <c r="X66" s="14">
        <v>0.04076298993599395</v>
      </c>
      <c r="Y66" s="10">
        <v>128</v>
      </c>
      <c r="Z66" s="14">
        <v>0.01811491650155675</v>
      </c>
      <c r="AA66" s="14"/>
      <c r="AB66" s="10"/>
      <c r="AC66" s="14"/>
      <c r="AD66" s="9">
        <v>2006009.37</v>
      </c>
      <c r="AE66" s="14">
        <v>0.04004678241672838</v>
      </c>
      <c r="AF66" s="10">
        <v>134</v>
      </c>
      <c r="AG66" s="14">
        <v>0.016897856242118536</v>
      </c>
      <c r="AH66" s="14"/>
      <c r="AI66" s="10"/>
      <c r="AJ66" s="14"/>
      <c r="AK66" s="9">
        <v>2256970.3</v>
      </c>
      <c r="AL66" s="14">
        <v>0.04026069805412403</v>
      </c>
      <c r="AM66" s="10">
        <v>151</v>
      </c>
      <c r="AN66" s="14">
        <v>0.016710934041611333</v>
      </c>
      <c r="AO66" s="14"/>
      <c r="AP66" s="10"/>
      <c r="AQ66" s="14"/>
      <c r="AR66" s="9">
        <v>2537988.41</v>
      </c>
      <c r="AS66" s="14">
        <v>0.03755624626437851</v>
      </c>
      <c r="AT66" s="10">
        <v>171</v>
      </c>
      <c r="AU66" s="14">
        <v>0.015461121157323688</v>
      </c>
      <c r="AV66" s="14"/>
      <c r="AW66" s="10"/>
      <c r="AX66" s="14"/>
      <c r="AY66" s="9">
        <v>2856494.43</v>
      </c>
      <c r="AZ66" s="14">
        <v>0.03923983041229019</v>
      </c>
      <c r="BA66" s="10">
        <v>192</v>
      </c>
      <c r="BB66" s="14">
        <v>0.01579207106431979</v>
      </c>
      <c r="BC66" s="14"/>
      <c r="BD66" s="10"/>
      <c r="BE66" s="9">
        <v>2716884.39</v>
      </c>
      <c r="BF66" s="14">
        <v>0.04209209440019081</v>
      </c>
      <c r="BG66" s="10">
        <v>182</v>
      </c>
      <c r="BH66" s="14">
        <v>0.016423028334235697</v>
      </c>
      <c r="BI66" s="14"/>
      <c r="BJ66" s="10"/>
      <c r="BK66" s="14"/>
      <c r="BL66" s="9">
        <v>2088595.91</v>
      </c>
      <c r="BM66" s="14">
        <v>0.037347165140104506</v>
      </c>
      <c r="BN66" s="10">
        <v>140</v>
      </c>
      <c r="BO66" s="14">
        <v>0.01373356876594075</v>
      </c>
      <c r="BP66" s="14"/>
      <c r="BQ66" s="10"/>
      <c r="BR66" s="14"/>
      <c r="BS66" s="9">
        <v>1888668.49</v>
      </c>
      <c r="BT66" s="14">
        <v>0.035172518824949414</v>
      </c>
      <c r="BU66" s="10">
        <v>127</v>
      </c>
      <c r="BV66" s="14">
        <v>0.012596707002578854</v>
      </c>
      <c r="BW66" s="14"/>
      <c r="BX66" s="10"/>
      <c r="BY66" s="14"/>
      <c r="BZ66" s="9">
        <v>1876195.8</v>
      </c>
      <c r="CA66" s="14">
        <v>0.035410144445113936</v>
      </c>
      <c r="CB66" s="10">
        <v>126</v>
      </c>
      <c r="CC66" s="14">
        <v>0.012753036437246963</v>
      </c>
      <c r="CD66" s="14"/>
      <c r="CE66" s="10"/>
      <c r="CF66" s="14"/>
      <c r="CG66" s="9">
        <v>2115610.71</v>
      </c>
      <c r="CH66" s="14">
        <v>0.04108767539168702</v>
      </c>
      <c r="CI66" s="10">
        <v>142</v>
      </c>
      <c r="CJ66" s="14">
        <v>0.015088725958984167</v>
      </c>
      <c r="CK66" s="14"/>
      <c r="CL66" s="10"/>
      <c r="CM66" s="14"/>
      <c r="CN66" s="9">
        <v>1777001.66</v>
      </c>
      <c r="CO66" s="14">
        <v>0.038930689818139554</v>
      </c>
      <c r="CP66" s="10">
        <v>119</v>
      </c>
      <c r="CQ66" s="14">
        <v>0.014054564780914137</v>
      </c>
      <c r="CR66" s="14"/>
      <c r="CS66" s="10"/>
      <c r="CT66" s="14"/>
      <c r="CU66" s="9">
        <v>3127324.39</v>
      </c>
      <c r="CV66" s="14">
        <v>0.04366217934920888</v>
      </c>
      <c r="CW66" s="10">
        <v>208</v>
      </c>
      <c r="CX66" s="14">
        <v>0.01545434281893157</v>
      </c>
      <c r="CY66" s="14"/>
      <c r="CZ66" s="10"/>
      <c r="DA66" s="14"/>
    </row>
    <row r="67" spans="1:105" ht="12.75">
      <c r="A67" s="8" t="s">
        <v>0</v>
      </c>
      <c r="B67" s="8"/>
      <c r="C67" s="8"/>
      <c r="D67" s="9">
        <v>850799.14</v>
      </c>
      <c r="E67" s="14">
        <f t="shared" si="4"/>
        <v>0.03221558727328057</v>
      </c>
      <c r="F67" s="10">
        <v>50</v>
      </c>
      <c r="G67" s="14">
        <f t="shared" si="5"/>
        <v>0.014080540692762602</v>
      </c>
      <c r="H67" s="14"/>
      <c r="I67" s="9">
        <v>688818.86</v>
      </c>
      <c r="J67" s="14">
        <f t="shared" si="6"/>
        <v>0.02830987641871849</v>
      </c>
      <c r="K67" s="10">
        <v>41</v>
      </c>
      <c r="L67" s="14">
        <f t="shared" si="7"/>
        <v>0.011904761904761904</v>
      </c>
      <c r="M67" s="14"/>
      <c r="N67" s="10"/>
      <c r="O67" s="14"/>
      <c r="P67" s="9">
        <v>995982.75</v>
      </c>
      <c r="Q67" s="14">
        <v>0.026246336288926916</v>
      </c>
      <c r="R67" s="10">
        <v>59</v>
      </c>
      <c r="S67" s="14">
        <v>0.010487024528972627</v>
      </c>
      <c r="T67" s="14"/>
      <c r="U67" s="10"/>
      <c r="V67" s="14"/>
      <c r="W67" s="9">
        <v>1348435.05</v>
      </c>
      <c r="X67" s="14">
        <v>0.02890969584553355</v>
      </c>
      <c r="Y67" s="10">
        <v>80</v>
      </c>
      <c r="Z67" s="14">
        <v>0.011321822813472968</v>
      </c>
      <c r="AA67" s="14"/>
      <c r="AB67" s="10"/>
      <c r="AC67" s="14"/>
      <c r="AD67" s="9">
        <v>1325245.99</v>
      </c>
      <c r="AE67" s="14">
        <v>0.0264564256796925</v>
      </c>
      <c r="AF67" s="10">
        <v>78</v>
      </c>
      <c r="AG67" s="14">
        <v>0.009836065573770493</v>
      </c>
      <c r="AH67" s="14"/>
      <c r="AI67" s="10"/>
      <c r="AJ67" s="14"/>
      <c r="AK67" s="9">
        <v>1491118.56</v>
      </c>
      <c r="AL67" s="14">
        <v>0.026599142269200543</v>
      </c>
      <c r="AM67" s="10">
        <v>88</v>
      </c>
      <c r="AN67" s="14">
        <v>0.009738822487826471</v>
      </c>
      <c r="AO67" s="14"/>
      <c r="AP67" s="10"/>
      <c r="AQ67" s="14"/>
      <c r="AR67" s="9">
        <v>2089888.1</v>
      </c>
      <c r="AS67" s="14">
        <v>0.030925417877930374</v>
      </c>
      <c r="AT67" s="10">
        <v>123</v>
      </c>
      <c r="AU67" s="14">
        <v>0.01112115732368897</v>
      </c>
      <c r="AV67" s="14"/>
      <c r="AW67" s="10"/>
      <c r="AX67" s="14"/>
      <c r="AY67" s="9">
        <v>2262552.37</v>
      </c>
      <c r="AZ67" s="14">
        <v>0.031080813729339327</v>
      </c>
      <c r="BA67" s="10">
        <v>135</v>
      </c>
      <c r="BB67" s="14">
        <v>0.011103799967099853</v>
      </c>
      <c r="BC67" s="14"/>
      <c r="BD67" s="10"/>
      <c r="BE67" s="9">
        <v>1573180.88</v>
      </c>
      <c r="BF67" s="14">
        <v>0.02437294658295535</v>
      </c>
      <c r="BG67" s="10">
        <v>93</v>
      </c>
      <c r="BH67" s="14">
        <v>0.008391987005955604</v>
      </c>
      <c r="BI67" s="14"/>
      <c r="BJ67" s="10"/>
      <c r="BK67" s="14"/>
      <c r="BL67" s="9">
        <v>1307790.28</v>
      </c>
      <c r="BM67" s="14">
        <v>0.023385212678973182</v>
      </c>
      <c r="BN67" s="10">
        <v>77</v>
      </c>
      <c r="BO67" s="14">
        <v>0.007553462821267412</v>
      </c>
      <c r="BP67" s="14"/>
      <c r="BQ67" s="10"/>
      <c r="BR67" s="14"/>
      <c r="BS67" s="9">
        <v>1331467.38</v>
      </c>
      <c r="BT67" s="14">
        <v>0.02479580812398479</v>
      </c>
      <c r="BU67" s="10">
        <v>79</v>
      </c>
      <c r="BV67" s="14">
        <v>0.007835746875619916</v>
      </c>
      <c r="BW67" s="14"/>
      <c r="BX67" s="10"/>
      <c r="BY67" s="14"/>
      <c r="BZ67" s="9">
        <v>1538109.41</v>
      </c>
      <c r="CA67" s="14">
        <v>0.029029313667842636</v>
      </c>
      <c r="CB67" s="10">
        <v>91</v>
      </c>
      <c r="CC67" s="14">
        <v>0.009210526315789473</v>
      </c>
      <c r="CD67" s="14"/>
      <c r="CE67" s="10"/>
      <c r="CF67" s="14"/>
      <c r="CG67" s="9">
        <v>1638016.63</v>
      </c>
      <c r="CH67" s="14">
        <v>0.031812230511739606</v>
      </c>
      <c r="CI67" s="10">
        <v>97</v>
      </c>
      <c r="CJ67" s="14">
        <v>0.010307087450855382</v>
      </c>
      <c r="CK67" s="14"/>
      <c r="CL67" s="10"/>
      <c r="CM67" s="14"/>
      <c r="CN67" s="9">
        <v>1561386.79</v>
      </c>
      <c r="CO67" s="14">
        <v>0.03420698256839594</v>
      </c>
      <c r="CP67" s="10">
        <v>92</v>
      </c>
      <c r="CQ67" s="14">
        <v>0.010865713948269753</v>
      </c>
      <c r="CR67" s="14"/>
      <c r="CS67" s="10"/>
      <c r="CT67" s="14"/>
      <c r="CU67" s="9">
        <v>2810032.55</v>
      </c>
      <c r="CV67" s="14">
        <v>0.039232305279087075</v>
      </c>
      <c r="CW67" s="10">
        <v>166</v>
      </c>
      <c r="CX67" s="14">
        <v>0.012333754365108848</v>
      </c>
      <c r="CY67" s="14"/>
      <c r="CZ67" s="10"/>
      <c r="DA67" s="14"/>
    </row>
    <row r="68" spans="1:105" ht="12.75">
      <c r="A68" s="8" t="s">
        <v>1</v>
      </c>
      <c r="B68" s="8"/>
      <c r="C68" s="8"/>
      <c r="D68" s="9">
        <v>512450.12</v>
      </c>
      <c r="E68" s="14">
        <f t="shared" si="4"/>
        <v>0.019403970676396196</v>
      </c>
      <c r="F68" s="10">
        <v>27</v>
      </c>
      <c r="G68" s="14">
        <f t="shared" si="5"/>
        <v>0.007603491974091805</v>
      </c>
      <c r="H68" s="14"/>
      <c r="I68" s="9">
        <v>668938.36</v>
      </c>
      <c r="J68" s="14">
        <f t="shared" si="6"/>
        <v>0.02749280457178571</v>
      </c>
      <c r="K68" s="10">
        <v>35</v>
      </c>
      <c r="L68" s="14">
        <f t="shared" si="7"/>
        <v>0.01016260162601626</v>
      </c>
      <c r="M68" s="14"/>
      <c r="N68" s="10"/>
      <c r="O68" s="14"/>
      <c r="P68" s="9">
        <v>875192.83</v>
      </c>
      <c r="Q68" s="14">
        <v>0.02306325619980632</v>
      </c>
      <c r="R68" s="10">
        <v>46</v>
      </c>
      <c r="S68" s="14">
        <v>0.008176324209029506</v>
      </c>
      <c r="T68" s="14"/>
      <c r="U68" s="10"/>
      <c r="V68" s="14"/>
      <c r="W68" s="9">
        <v>1057299.29</v>
      </c>
      <c r="X68" s="14">
        <v>0.022667907432099576</v>
      </c>
      <c r="Y68" s="10">
        <v>56</v>
      </c>
      <c r="Z68" s="14">
        <v>0.007925275969431078</v>
      </c>
      <c r="AA68" s="14"/>
      <c r="AB68" s="10"/>
      <c r="AC68" s="14"/>
      <c r="AD68" s="9">
        <v>1119073.88</v>
      </c>
      <c r="AE68" s="14">
        <v>0.02234052784140485</v>
      </c>
      <c r="AF68" s="10">
        <v>59</v>
      </c>
      <c r="AG68" s="14">
        <v>0.007440100882723834</v>
      </c>
      <c r="AH68" s="14"/>
      <c r="AI68" s="10"/>
      <c r="AJ68" s="14"/>
      <c r="AK68" s="9">
        <v>1283157.45</v>
      </c>
      <c r="AL68" s="14">
        <v>0.022889452577355484</v>
      </c>
      <c r="AM68" s="10">
        <v>68</v>
      </c>
      <c r="AN68" s="14">
        <v>0.007525453740593183</v>
      </c>
      <c r="AO68" s="14"/>
      <c r="AP68" s="10"/>
      <c r="AQ68" s="14"/>
      <c r="AR68" s="9">
        <v>1222903.48</v>
      </c>
      <c r="AS68" s="14">
        <v>0.018096089041023427</v>
      </c>
      <c r="AT68" s="10">
        <v>65</v>
      </c>
      <c r="AU68" s="14">
        <v>0.005877034358047016</v>
      </c>
      <c r="AV68" s="14"/>
      <c r="AW68" s="10"/>
      <c r="AX68" s="14"/>
      <c r="AY68" s="9">
        <v>1711213.49</v>
      </c>
      <c r="AZ68" s="14">
        <v>0.023507039412229255</v>
      </c>
      <c r="BA68" s="10">
        <v>90</v>
      </c>
      <c r="BB68" s="14">
        <v>0.007402533311399902</v>
      </c>
      <c r="BC68" s="14"/>
      <c r="BD68" s="10"/>
      <c r="BE68" s="9">
        <v>1303767.83</v>
      </c>
      <c r="BF68" s="14">
        <v>0.020198989246020843</v>
      </c>
      <c r="BG68" s="10">
        <v>69</v>
      </c>
      <c r="BH68" s="14">
        <v>0.006226312939902545</v>
      </c>
      <c r="BI68" s="14"/>
      <c r="BJ68" s="10"/>
      <c r="BK68" s="14"/>
      <c r="BL68" s="9">
        <v>909010.11</v>
      </c>
      <c r="BM68" s="14">
        <v>0.01625443702616202</v>
      </c>
      <c r="BN68" s="10">
        <v>48</v>
      </c>
      <c r="BO68" s="14">
        <v>0.004708652148322542</v>
      </c>
      <c r="BP68" s="14"/>
      <c r="BQ68" s="10"/>
      <c r="BR68" s="14"/>
      <c r="BS68" s="9">
        <v>1117163.71</v>
      </c>
      <c r="BT68" s="14">
        <v>0.020804848404351445</v>
      </c>
      <c r="BU68" s="10">
        <v>59</v>
      </c>
      <c r="BV68" s="14">
        <v>0.005852013489387026</v>
      </c>
      <c r="BW68" s="14"/>
      <c r="BX68" s="10"/>
      <c r="BY68" s="14"/>
      <c r="BZ68" s="9">
        <v>1078262.38</v>
      </c>
      <c r="CA68" s="14">
        <v>0.02035044883137054</v>
      </c>
      <c r="CB68" s="10">
        <v>57</v>
      </c>
      <c r="CC68" s="14">
        <v>0.0057692307692307696</v>
      </c>
      <c r="CD68" s="14"/>
      <c r="CE68" s="10"/>
      <c r="CF68" s="14"/>
      <c r="CG68" s="9">
        <v>1478048.24</v>
      </c>
      <c r="CH68" s="14">
        <v>0.028705454179882777</v>
      </c>
      <c r="CI68" s="10">
        <v>78</v>
      </c>
      <c r="CJ68" s="14">
        <v>0.008288173414089895</v>
      </c>
      <c r="CK68" s="14"/>
      <c r="CL68" s="10"/>
      <c r="CM68" s="14"/>
      <c r="CN68" s="9">
        <v>1526468.41</v>
      </c>
      <c r="CO68" s="14">
        <v>0.03344198799842354</v>
      </c>
      <c r="CP68" s="10">
        <v>80</v>
      </c>
      <c r="CQ68" s="14">
        <v>0.009448446911538916</v>
      </c>
      <c r="CR68" s="14"/>
      <c r="CS68" s="10"/>
      <c r="CT68" s="14"/>
      <c r="CU68" s="9">
        <v>2668886.25</v>
      </c>
      <c r="CV68" s="14">
        <v>0.0372616894118034</v>
      </c>
      <c r="CW68" s="10">
        <v>141</v>
      </c>
      <c r="CX68" s="14">
        <v>0.01047626123783342</v>
      </c>
      <c r="CY68" s="14"/>
      <c r="CZ68" s="10"/>
      <c r="DA68" s="14"/>
    </row>
    <row r="69" spans="1:105" ht="12.75">
      <c r="A69" s="8" t="s">
        <v>2</v>
      </c>
      <c r="B69" s="8"/>
      <c r="C69" s="8"/>
      <c r="D69" s="9">
        <v>1117473.19</v>
      </c>
      <c r="E69" s="14">
        <f t="shared" si="4"/>
        <v>0.042313224573776884</v>
      </c>
      <c r="F69" s="10">
        <v>51</v>
      </c>
      <c r="G69" s="14">
        <f t="shared" si="5"/>
        <v>0.014362151506617854</v>
      </c>
      <c r="H69" s="14"/>
      <c r="I69" s="9">
        <v>905212.22</v>
      </c>
      <c r="J69" s="14">
        <f t="shared" si="6"/>
        <v>0.03720346170677414</v>
      </c>
      <c r="K69" s="10">
        <v>41</v>
      </c>
      <c r="L69" s="14">
        <f t="shared" si="7"/>
        <v>0.011904761904761904</v>
      </c>
      <c r="M69" s="14"/>
      <c r="N69" s="10"/>
      <c r="O69" s="14"/>
      <c r="P69" s="9">
        <v>1135457.88</v>
      </c>
      <c r="Q69" s="14">
        <v>0.029921812762713038</v>
      </c>
      <c r="R69" s="10">
        <v>51</v>
      </c>
      <c r="S69" s="14">
        <v>0.009065055101315321</v>
      </c>
      <c r="T69" s="14"/>
      <c r="U69" s="10"/>
      <c r="V69" s="14"/>
      <c r="W69" s="9">
        <v>1552288.61</v>
      </c>
      <c r="X69" s="14">
        <v>0.03328020254263345</v>
      </c>
      <c r="Y69" s="10">
        <v>70</v>
      </c>
      <c r="Z69" s="14">
        <v>0.009906594961788848</v>
      </c>
      <c r="AA69" s="14"/>
      <c r="AB69" s="10"/>
      <c r="AC69" s="14"/>
      <c r="AD69" s="9">
        <v>1467797.07</v>
      </c>
      <c r="AE69" s="14">
        <v>0.029302230973228906</v>
      </c>
      <c r="AF69" s="10">
        <v>67</v>
      </c>
      <c r="AG69" s="14">
        <v>0.008448928121059268</v>
      </c>
      <c r="AH69" s="14"/>
      <c r="AI69" s="10"/>
      <c r="AJ69" s="14"/>
      <c r="AK69" s="9">
        <v>1511578.26</v>
      </c>
      <c r="AL69" s="14">
        <v>0.02696411021050573</v>
      </c>
      <c r="AM69" s="10">
        <v>69</v>
      </c>
      <c r="AN69" s="14">
        <v>0.0076361221779548474</v>
      </c>
      <c r="AO69" s="14"/>
      <c r="AP69" s="10"/>
      <c r="AQ69" s="14"/>
      <c r="AR69" s="9">
        <v>1837651.12</v>
      </c>
      <c r="AS69" s="14">
        <v>0.027192905112884656</v>
      </c>
      <c r="AT69" s="10">
        <v>84</v>
      </c>
      <c r="AU69" s="14">
        <v>0.007594936708860759</v>
      </c>
      <c r="AV69" s="14"/>
      <c r="AW69" s="10"/>
      <c r="AX69" s="14"/>
      <c r="AY69" s="9">
        <v>1858422.6</v>
      </c>
      <c r="AZ69" s="14">
        <v>0.02552925953311502</v>
      </c>
      <c r="BA69" s="10">
        <v>84</v>
      </c>
      <c r="BB69" s="14">
        <v>0.006909031090639908</v>
      </c>
      <c r="BC69" s="14"/>
      <c r="BD69" s="10"/>
      <c r="BE69" s="9">
        <v>1648932.28</v>
      </c>
      <c r="BF69" s="14">
        <v>0.025546546420873607</v>
      </c>
      <c r="BG69" s="10">
        <v>75</v>
      </c>
      <c r="BH69" s="14">
        <v>0.00676773145641581</v>
      </c>
      <c r="BI69" s="14"/>
      <c r="BJ69" s="10"/>
      <c r="BK69" s="14"/>
      <c r="BL69" s="9">
        <v>1320660.27</v>
      </c>
      <c r="BM69" s="14">
        <v>0.023615347019263766</v>
      </c>
      <c r="BN69" s="10">
        <v>60</v>
      </c>
      <c r="BO69" s="14">
        <v>0.005885815185403178</v>
      </c>
      <c r="BP69" s="14"/>
      <c r="BQ69" s="10"/>
      <c r="BR69" s="14"/>
      <c r="BS69" s="9">
        <v>1386787.71</v>
      </c>
      <c r="BT69" s="14">
        <v>0.02582603410521425</v>
      </c>
      <c r="BU69" s="10">
        <v>62</v>
      </c>
      <c r="BV69" s="14">
        <v>0.00614957349732196</v>
      </c>
      <c r="BW69" s="14"/>
      <c r="BX69" s="10"/>
      <c r="BY69" s="14"/>
      <c r="BZ69" s="9">
        <v>2176403.26</v>
      </c>
      <c r="CA69" s="14">
        <v>0.041076072021596494</v>
      </c>
      <c r="CB69" s="10">
        <v>97</v>
      </c>
      <c r="CC69" s="14">
        <v>0.009817813765182187</v>
      </c>
      <c r="CD69" s="14"/>
      <c r="CE69" s="10"/>
      <c r="CF69" s="14"/>
      <c r="CG69" s="9">
        <v>2890434</v>
      </c>
      <c r="CH69" s="14">
        <v>0.056135664927266085</v>
      </c>
      <c r="CI69" s="10">
        <v>129</v>
      </c>
      <c r="CJ69" s="14">
        <v>0.013707363723302519</v>
      </c>
      <c r="CK69" s="14"/>
      <c r="CL69" s="10"/>
      <c r="CM69" s="14"/>
      <c r="CN69" s="9">
        <v>2833037.2</v>
      </c>
      <c r="CO69" s="14">
        <v>0.06206639811267857</v>
      </c>
      <c r="CP69" s="10">
        <v>126</v>
      </c>
      <c r="CQ69" s="14">
        <v>0.014881303885673793</v>
      </c>
      <c r="CR69" s="14"/>
      <c r="CS69" s="10"/>
      <c r="CT69" s="14"/>
      <c r="CU69" s="9">
        <v>4736482.41</v>
      </c>
      <c r="CV69" s="14">
        <v>0.06612845956469299</v>
      </c>
      <c r="CW69" s="10">
        <v>212</v>
      </c>
      <c r="CX69" s="14">
        <v>0.015751541719295638</v>
      </c>
      <c r="CY69" s="14"/>
      <c r="CZ69" s="10"/>
      <c r="DA69" s="14"/>
    </row>
    <row r="70" spans="1:105" ht="12.75">
      <c r="A70" s="8" t="s">
        <v>3</v>
      </c>
      <c r="B70" s="8"/>
      <c r="C70" s="8"/>
      <c r="D70" s="9">
        <v>676140.53</v>
      </c>
      <c r="E70" s="14">
        <f t="shared" si="4"/>
        <v>0.025602123026613754</v>
      </c>
      <c r="F70" s="10">
        <v>25</v>
      </c>
      <c r="G70" s="14">
        <f t="shared" si="5"/>
        <v>0.007040270346381301</v>
      </c>
      <c r="H70" s="14"/>
      <c r="I70" s="9">
        <v>513797.67</v>
      </c>
      <c r="J70" s="14">
        <f t="shared" si="6"/>
        <v>0.02111665255786624</v>
      </c>
      <c r="K70" s="10">
        <v>19</v>
      </c>
      <c r="L70" s="14">
        <f t="shared" si="7"/>
        <v>0.005516840882694541</v>
      </c>
      <c r="M70" s="14"/>
      <c r="N70" s="10"/>
      <c r="O70" s="14"/>
      <c r="P70" s="9">
        <v>455886.82</v>
      </c>
      <c r="Q70" s="14">
        <v>0.012013620504380719</v>
      </c>
      <c r="R70" s="10">
        <v>17</v>
      </c>
      <c r="S70" s="14">
        <v>0.003021685033771774</v>
      </c>
      <c r="T70" s="14"/>
      <c r="U70" s="10"/>
      <c r="V70" s="14"/>
      <c r="W70" s="9">
        <v>702102.95</v>
      </c>
      <c r="X70" s="14">
        <v>0.015052695891249527</v>
      </c>
      <c r="Y70" s="10">
        <v>26</v>
      </c>
      <c r="Z70" s="14">
        <v>0.003679592414378715</v>
      </c>
      <c r="AA70" s="14"/>
      <c r="AB70" s="10"/>
      <c r="AC70" s="14"/>
      <c r="AD70" s="9">
        <v>607252.75</v>
      </c>
      <c r="AE70" s="14">
        <v>0.012122834077893638</v>
      </c>
      <c r="AF70" s="10">
        <v>22</v>
      </c>
      <c r="AG70" s="14">
        <v>0.0027742749054224464</v>
      </c>
      <c r="AH70" s="14"/>
      <c r="AI70" s="10"/>
      <c r="AJ70" s="14"/>
      <c r="AK70" s="9">
        <v>689976.33</v>
      </c>
      <c r="AL70" s="14">
        <v>0.01230806124769238</v>
      </c>
      <c r="AM70" s="10">
        <v>25</v>
      </c>
      <c r="AN70" s="14">
        <v>0.0027667109340416113</v>
      </c>
      <c r="AO70" s="14"/>
      <c r="AP70" s="10"/>
      <c r="AQ70" s="14"/>
      <c r="AR70" s="9">
        <v>880694.75</v>
      </c>
      <c r="AS70" s="14">
        <v>0.013032206445239544</v>
      </c>
      <c r="AT70" s="10">
        <v>32</v>
      </c>
      <c r="AU70" s="14">
        <v>0.0028933092224231465</v>
      </c>
      <c r="AV70" s="14"/>
      <c r="AW70" s="10"/>
      <c r="AX70" s="14"/>
      <c r="AY70" s="9">
        <v>1060709.03</v>
      </c>
      <c r="AZ70" s="14">
        <v>0.014571021744994219</v>
      </c>
      <c r="BA70" s="10">
        <v>39</v>
      </c>
      <c r="BB70" s="14">
        <v>0.0032077644349399574</v>
      </c>
      <c r="BC70" s="14"/>
      <c r="BD70" s="10"/>
      <c r="BE70" s="9">
        <v>810631.16</v>
      </c>
      <c r="BF70" s="14">
        <v>0.012558930897481498</v>
      </c>
      <c r="BG70" s="10">
        <v>30</v>
      </c>
      <c r="BH70" s="14">
        <v>0.0027070925825663237</v>
      </c>
      <c r="BI70" s="14"/>
      <c r="BJ70" s="10"/>
      <c r="BK70" s="14"/>
      <c r="BL70" s="9">
        <v>621942.33</v>
      </c>
      <c r="BM70" s="14">
        <v>0.011121243125546184</v>
      </c>
      <c r="BN70" s="10">
        <v>23</v>
      </c>
      <c r="BO70" s="14">
        <v>0.002256229154404552</v>
      </c>
      <c r="BP70" s="14"/>
      <c r="BQ70" s="10"/>
      <c r="BR70" s="14"/>
      <c r="BS70" s="9">
        <v>880333.71</v>
      </c>
      <c r="BT70" s="14">
        <v>0.016394382683438832</v>
      </c>
      <c r="BU70" s="10">
        <v>33</v>
      </c>
      <c r="BV70" s="14">
        <v>0.003273160087284269</v>
      </c>
      <c r="BW70" s="14"/>
      <c r="BX70" s="10"/>
      <c r="BY70" s="14"/>
      <c r="BZ70" s="9">
        <v>1333674.05</v>
      </c>
      <c r="CA70" s="14">
        <v>0.025170928723537316</v>
      </c>
      <c r="CB70" s="10">
        <v>49</v>
      </c>
      <c r="CC70" s="14">
        <v>0.004959514170040486</v>
      </c>
      <c r="CD70" s="14"/>
      <c r="CE70" s="10"/>
      <c r="CF70" s="14"/>
      <c r="CG70" s="9">
        <v>1692157.42</v>
      </c>
      <c r="CH70" s="14">
        <v>0.032863709025463664</v>
      </c>
      <c r="CI70" s="10">
        <v>62</v>
      </c>
      <c r="CJ70" s="14">
        <v>0.006588035277866327</v>
      </c>
      <c r="CK70" s="14"/>
      <c r="CL70" s="10"/>
      <c r="CM70" s="14"/>
      <c r="CN70" s="9">
        <v>1639827.25</v>
      </c>
      <c r="CO70" s="14">
        <v>0.035925462233435866</v>
      </c>
      <c r="CP70" s="10">
        <v>60</v>
      </c>
      <c r="CQ70" s="14">
        <v>0.0070863351836541865</v>
      </c>
      <c r="CR70" s="14"/>
      <c r="CS70" s="10"/>
      <c r="CT70" s="14"/>
      <c r="CU70" s="9">
        <v>3193575.96</v>
      </c>
      <c r="CV70" s="14">
        <v>0.04458715148857391</v>
      </c>
      <c r="CW70" s="10">
        <v>118</v>
      </c>
      <c r="CX70" s="14">
        <v>0.008767367560740025</v>
      </c>
      <c r="CY70" s="14"/>
      <c r="CZ70" s="10"/>
      <c r="DA70" s="14"/>
    </row>
    <row r="71" spans="1:105" ht="12.75">
      <c r="A71" s="8" t="s">
        <v>4</v>
      </c>
      <c r="B71" s="8"/>
      <c r="C71" s="8"/>
      <c r="D71" s="9">
        <v>1325651.65</v>
      </c>
      <c r="E71" s="14">
        <f t="shared" si="4"/>
        <v>0.05019592100732893</v>
      </c>
      <c r="F71" s="10">
        <v>37</v>
      </c>
      <c r="G71" s="14">
        <f t="shared" si="5"/>
        <v>0.010419600112644326</v>
      </c>
      <c r="H71" s="14"/>
      <c r="I71" s="9">
        <v>1082355.98</v>
      </c>
      <c r="J71" s="14">
        <f t="shared" si="6"/>
        <v>0.044483921411299546</v>
      </c>
      <c r="K71" s="10">
        <v>31</v>
      </c>
      <c r="L71" s="14">
        <f t="shared" si="7"/>
        <v>0.009001161440185831</v>
      </c>
      <c r="M71" s="14"/>
      <c r="N71" s="10"/>
      <c r="O71" s="14"/>
      <c r="P71" s="9">
        <v>979553.45</v>
      </c>
      <c r="Q71" s="14">
        <v>0.025813388095003217</v>
      </c>
      <c r="R71" s="10">
        <v>29</v>
      </c>
      <c r="S71" s="14">
        <v>0.005154639175257732</v>
      </c>
      <c r="T71" s="14"/>
      <c r="U71" s="10"/>
      <c r="V71" s="14"/>
      <c r="W71" s="9">
        <v>979422.1</v>
      </c>
      <c r="X71" s="14">
        <v>0.020998263887751764</v>
      </c>
      <c r="Y71" s="10">
        <v>29</v>
      </c>
      <c r="Z71" s="14">
        <v>0.004104160769883952</v>
      </c>
      <c r="AA71" s="14"/>
      <c r="AB71" s="10"/>
      <c r="AC71" s="14"/>
      <c r="AD71" s="9">
        <v>604034.01</v>
      </c>
      <c r="AE71" s="14">
        <v>0.012058577059774119</v>
      </c>
      <c r="AF71" s="10">
        <v>18</v>
      </c>
      <c r="AG71" s="14">
        <v>0.002269861286254729</v>
      </c>
      <c r="AH71" s="14"/>
      <c r="AI71" s="10"/>
      <c r="AJ71" s="14"/>
      <c r="AK71" s="9">
        <v>577692.41</v>
      </c>
      <c r="AL71" s="14">
        <v>0.010305097806191434</v>
      </c>
      <c r="AM71" s="10">
        <v>17</v>
      </c>
      <c r="AN71" s="14">
        <v>0.0018813634351482957</v>
      </c>
      <c r="AO71" s="14"/>
      <c r="AP71" s="10"/>
      <c r="AQ71" s="14"/>
      <c r="AR71" s="9">
        <v>660400.06</v>
      </c>
      <c r="AS71" s="14">
        <v>0.009772364282140412</v>
      </c>
      <c r="AT71" s="10">
        <v>19</v>
      </c>
      <c r="AU71" s="14">
        <v>0.0017179023508137432</v>
      </c>
      <c r="AV71" s="14"/>
      <c r="AW71" s="10"/>
      <c r="AX71" s="14"/>
      <c r="AY71" s="9">
        <v>1031224.63</v>
      </c>
      <c r="AZ71" s="14">
        <v>0.014165992824350349</v>
      </c>
      <c r="BA71" s="10">
        <v>28</v>
      </c>
      <c r="BB71" s="14">
        <v>0.002303010363546636</v>
      </c>
      <c r="BC71" s="14"/>
      <c r="BD71" s="10"/>
      <c r="BE71" s="9">
        <v>910732.04</v>
      </c>
      <c r="BF71" s="14">
        <v>0.014109771892413258</v>
      </c>
      <c r="BG71" s="10">
        <v>25</v>
      </c>
      <c r="BH71" s="14">
        <v>0.0022559104854719364</v>
      </c>
      <c r="BI71" s="14"/>
      <c r="BJ71" s="10"/>
      <c r="BK71" s="14"/>
      <c r="BL71" s="9">
        <v>838434.53</v>
      </c>
      <c r="BM71" s="14">
        <v>0.014992441908533613</v>
      </c>
      <c r="BN71" s="10">
        <v>23</v>
      </c>
      <c r="BO71" s="14">
        <v>0.002256229154404552</v>
      </c>
      <c r="BP71" s="14"/>
      <c r="BQ71" s="10"/>
      <c r="BR71" s="14"/>
      <c r="BS71" s="9">
        <v>1207289</v>
      </c>
      <c r="BT71" s="14">
        <v>0.022483244309145205</v>
      </c>
      <c r="BU71" s="10">
        <v>34</v>
      </c>
      <c r="BV71" s="14">
        <v>0.0033723467565959135</v>
      </c>
      <c r="BW71" s="14"/>
      <c r="BX71" s="10"/>
      <c r="BY71" s="14"/>
      <c r="BZ71" s="9">
        <v>1735019.93</v>
      </c>
      <c r="CA71" s="14">
        <v>0.032745679494886125</v>
      </c>
      <c r="CB71" s="10">
        <v>49</v>
      </c>
      <c r="CC71" s="14">
        <v>0.004959514170040486</v>
      </c>
      <c r="CD71" s="14"/>
      <c r="CE71" s="10"/>
      <c r="CF71" s="14"/>
      <c r="CG71" s="9">
        <v>2358006.3</v>
      </c>
      <c r="CH71" s="14">
        <v>0.04579528595123859</v>
      </c>
      <c r="CI71" s="10">
        <v>66</v>
      </c>
      <c r="CJ71" s="14">
        <v>0.007013069811922219</v>
      </c>
      <c r="CK71" s="14"/>
      <c r="CL71" s="10"/>
      <c r="CM71" s="14"/>
      <c r="CN71" s="9">
        <v>2160938.85</v>
      </c>
      <c r="CO71" s="14">
        <v>0.04734201547415393</v>
      </c>
      <c r="CP71" s="10">
        <v>61</v>
      </c>
      <c r="CQ71" s="14">
        <v>0.007204440770048423</v>
      </c>
      <c r="CR71" s="14"/>
      <c r="CS71" s="10"/>
      <c r="CT71" s="14"/>
      <c r="CU71" s="9">
        <v>3876302.13</v>
      </c>
      <c r="CV71" s="14">
        <v>0.054119041616843715</v>
      </c>
      <c r="CW71" s="10">
        <v>110</v>
      </c>
      <c r="CX71" s="14">
        <v>0.008172969760011887</v>
      </c>
      <c r="CY71" s="14"/>
      <c r="CZ71" s="10"/>
      <c r="DA71" s="14"/>
    </row>
    <row r="72" spans="1:105" ht="12.75">
      <c r="A72" s="8" t="s">
        <v>5</v>
      </c>
      <c r="B72" s="8"/>
      <c r="C72" s="8"/>
      <c r="D72" s="9">
        <v>106856.35</v>
      </c>
      <c r="E72" s="14">
        <f t="shared" si="4"/>
        <v>0.00404612546873192</v>
      </c>
      <c r="F72" s="10">
        <v>2</v>
      </c>
      <c r="G72" s="14">
        <f t="shared" si="5"/>
        <v>0.000563221627710504</v>
      </c>
      <c r="H72" s="14"/>
      <c r="I72" s="9">
        <v>103060.17</v>
      </c>
      <c r="J72" s="14">
        <f t="shared" si="6"/>
        <v>0.004235686398586879</v>
      </c>
      <c r="K72" s="10">
        <v>2</v>
      </c>
      <c r="L72" s="14">
        <f t="shared" si="7"/>
        <v>0.0005807200929152149</v>
      </c>
      <c r="M72" s="14"/>
      <c r="N72" s="10"/>
      <c r="O72" s="14"/>
      <c r="P72" s="9">
        <v>56453.35</v>
      </c>
      <c r="Q72" s="14">
        <v>0.0014876699508465307</v>
      </c>
      <c r="R72" s="10">
        <v>1</v>
      </c>
      <c r="S72" s="14">
        <v>0.00017774617845716317</v>
      </c>
      <c r="T72" s="14"/>
      <c r="U72" s="10"/>
      <c r="V72" s="14"/>
      <c r="W72" s="9">
        <v>55131.06</v>
      </c>
      <c r="X72" s="14">
        <v>0.00118197919598861</v>
      </c>
      <c r="Y72" s="10">
        <v>1</v>
      </c>
      <c r="Z72" s="14">
        <v>0.0001415227851684121</v>
      </c>
      <c r="AA72" s="14"/>
      <c r="AB72" s="10"/>
      <c r="AC72" s="14"/>
      <c r="AD72" s="9">
        <v>53771.66</v>
      </c>
      <c r="AE72" s="14">
        <v>0.0010734655582422812</v>
      </c>
      <c r="AF72" s="10">
        <v>1</v>
      </c>
      <c r="AG72" s="14">
        <v>0.00012610340479192938</v>
      </c>
      <c r="AH72" s="14"/>
      <c r="AI72" s="10"/>
      <c r="AJ72" s="14"/>
      <c r="AK72" s="9">
        <v>146707.82</v>
      </c>
      <c r="AL72" s="14">
        <v>0.0026170301147510804</v>
      </c>
      <c r="AM72" s="10">
        <v>3</v>
      </c>
      <c r="AN72" s="14">
        <v>0.00033200531208499334</v>
      </c>
      <c r="AO72" s="14"/>
      <c r="AP72" s="10"/>
      <c r="AQ72" s="14"/>
      <c r="AR72" s="9">
        <v>204435.12</v>
      </c>
      <c r="AS72" s="14">
        <v>0.003025157909136303</v>
      </c>
      <c r="AT72" s="10">
        <v>4</v>
      </c>
      <c r="AU72" s="14">
        <v>0.0003616636528028933</v>
      </c>
      <c r="AV72" s="14"/>
      <c r="AW72" s="10"/>
      <c r="AX72" s="14"/>
      <c r="AY72" s="9">
        <v>389541.79</v>
      </c>
      <c r="AZ72" s="14">
        <v>0.005351158265027659</v>
      </c>
      <c r="BA72" s="10">
        <v>7</v>
      </c>
      <c r="BB72" s="14">
        <v>0.000575752590886659</v>
      </c>
      <c r="BC72" s="14"/>
      <c r="BD72" s="10"/>
      <c r="BE72" s="9">
        <v>269314.13</v>
      </c>
      <c r="BF72" s="14">
        <v>0.004172424791054601</v>
      </c>
      <c r="BG72" s="10">
        <v>5</v>
      </c>
      <c r="BH72" s="14">
        <v>0.0004511820970943873</v>
      </c>
      <c r="BI72" s="14"/>
      <c r="BJ72" s="10"/>
      <c r="BK72" s="14"/>
      <c r="BL72" s="9">
        <v>204050.1</v>
      </c>
      <c r="BM72" s="14">
        <v>0.0036487157449019603</v>
      </c>
      <c r="BN72" s="10">
        <v>4</v>
      </c>
      <c r="BO72" s="14">
        <v>0.00039238767902687857</v>
      </c>
      <c r="BP72" s="14"/>
      <c r="BQ72" s="10"/>
      <c r="BR72" s="14"/>
      <c r="BS72" s="9">
        <v>397885.08</v>
      </c>
      <c r="BT72" s="14">
        <v>0.007409781303899715</v>
      </c>
      <c r="BU72" s="10">
        <v>7</v>
      </c>
      <c r="BV72" s="14">
        <v>0.0006943066851815116</v>
      </c>
      <c r="BW72" s="14"/>
      <c r="BX72" s="10"/>
      <c r="BY72" s="14"/>
      <c r="BZ72" s="9">
        <v>654437.12</v>
      </c>
      <c r="CA72" s="14">
        <v>0.0123514363210089</v>
      </c>
      <c r="CB72" s="10">
        <v>11</v>
      </c>
      <c r="CC72" s="14">
        <v>0.0011133603238866396</v>
      </c>
      <c r="CD72" s="14"/>
      <c r="CE72" s="10"/>
      <c r="CF72" s="14"/>
      <c r="CG72" s="9">
        <v>836699.54</v>
      </c>
      <c r="CH72" s="14">
        <v>0.01624969987975427</v>
      </c>
      <c r="CI72" s="10">
        <v>14</v>
      </c>
      <c r="CJ72" s="14">
        <v>0.0014876208691956222</v>
      </c>
      <c r="CK72" s="14"/>
      <c r="CL72" s="10"/>
      <c r="CM72" s="14"/>
      <c r="CN72" s="9">
        <v>1106676</v>
      </c>
      <c r="CO72" s="14">
        <v>0.02424514340925232</v>
      </c>
      <c r="CP72" s="10">
        <v>19</v>
      </c>
      <c r="CQ72" s="14">
        <v>0.0022440061414904927</v>
      </c>
      <c r="CR72" s="14"/>
      <c r="CS72" s="10"/>
      <c r="CT72" s="14"/>
      <c r="CU72" s="9">
        <v>2047980.44</v>
      </c>
      <c r="CV72" s="14">
        <v>0.028592905027978788</v>
      </c>
      <c r="CW72" s="10">
        <v>35</v>
      </c>
      <c r="CX72" s="14">
        <v>0.002600490378185601</v>
      </c>
      <c r="CY72" s="14"/>
      <c r="CZ72" s="10"/>
      <c r="DA72" s="14"/>
    </row>
    <row r="73" spans="1:105" ht="12.75">
      <c r="A73" s="8"/>
      <c r="B73" s="8"/>
      <c r="C73" s="8"/>
      <c r="D73" s="9"/>
      <c r="E73" s="8"/>
      <c r="F73" s="10"/>
      <c r="G73" s="8"/>
      <c r="H73" s="8"/>
      <c r="I73" s="9"/>
      <c r="J73" s="8"/>
      <c r="K73" s="10"/>
      <c r="L73" s="8"/>
      <c r="M73" s="8"/>
      <c r="N73" s="10"/>
      <c r="O73" s="8"/>
      <c r="P73" s="9"/>
      <c r="Q73" s="8"/>
      <c r="R73" s="10"/>
      <c r="S73" s="8"/>
      <c r="T73" s="8"/>
      <c r="U73" s="10"/>
      <c r="V73" s="8"/>
      <c r="W73" s="9"/>
      <c r="X73" s="8"/>
      <c r="Y73" s="10"/>
      <c r="Z73" s="8"/>
      <c r="AA73" s="8"/>
      <c r="AB73" s="10"/>
      <c r="AC73" s="8"/>
      <c r="AD73" s="9"/>
      <c r="AE73" s="8"/>
      <c r="AF73" s="10"/>
      <c r="AG73" s="8"/>
      <c r="AH73" s="8"/>
      <c r="AI73" s="10"/>
      <c r="AJ73" s="8"/>
      <c r="AK73" s="9"/>
      <c r="AL73" s="8"/>
      <c r="AM73" s="10"/>
      <c r="AN73" s="8"/>
      <c r="AO73" s="8"/>
      <c r="AP73" s="10"/>
      <c r="AQ73" s="8"/>
      <c r="AR73" s="9"/>
      <c r="AS73" s="8"/>
      <c r="AT73" s="10"/>
      <c r="AU73" s="8"/>
      <c r="AV73" s="8"/>
      <c r="AW73" s="10"/>
      <c r="AX73" s="8"/>
      <c r="AY73" s="9"/>
      <c r="AZ73" s="8"/>
      <c r="BA73" s="10"/>
      <c r="BB73" s="8"/>
      <c r="BC73" s="8"/>
      <c r="BD73" s="10"/>
      <c r="BE73" s="9"/>
      <c r="BF73" s="8"/>
      <c r="BG73" s="10"/>
      <c r="BH73" s="8"/>
      <c r="BI73" s="8"/>
      <c r="BJ73" s="10"/>
      <c r="BK73" s="8"/>
      <c r="BL73" s="9"/>
      <c r="BM73" s="8"/>
      <c r="BN73" s="10"/>
      <c r="BO73" s="8"/>
      <c r="BP73" s="8"/>
      <c r="BQ73" s="10"/>
      <c r="BR73" s="8"/>
      <c r="BS73" s="9"/>
      <c r="BT73" s="8"/>
      <c r="BU73" s="10"/>
      <c r="BV73" s="8"/>
      <c r="BW73" s="8"/>
      <c r="BX73" s="10"/>
      <c r="BY73" s="8"/>
      <c r="BZ73" s="9"/>
      <c r="CA73" s="8"/>
      <c r="CB73" s="10"/>
      <c r="CC73" s="8"/>
      <c r="CD73" s="8"/>
      <c r="CE73" s="10"/>
      <c r="CF73" s="8"/>
      <c r="CG73" s="9"/>
      <c r="CH73" s="8"/>
      <c r="CI73" s="10"/>
      <c r="CJ73" s="8"/>
      <c r="CK73" s="8"/>
      <c r="CL73" s="10"/>
      <c r="CM73" s="8"/>
      <c r="CN73" s="9"/>
      <c r="CO73" s="8"/>
      <c r="CP73" s="10"/>
      <c r="CQ73" s="8"/>
      <c r="CR73" s="8"/>
      <c r="CS73" s="10"/>
      <c r="CT73" s="8"/>
      <c r="CU73" s="9"/>
      <c r="CV73" s="8"/>
      <c r="CW73" s="10"/>
      <c r="CX73" s="8"/>
      <c r="CY73" s="8"/>
      <c r="CZ73" s="10"/>
      <c r="DA73" s="8"/>
    </row>
    <row r="74" spans="1:105" ht="13.5" thickBot="1">
      <c r="A74" s="8"/>
      <c r="B74" s="12"/>
      <c r="C74" s="12"/>
      <c r="D74" s="21">
        <f>SUM(D59:D72)</f>
        <v>26409549.290000003</v>
      </c>
      <c r="E74" s="23"/>
      <c r="F74" s="22">
        <f>SUM(F59:F72)</f>
        <v>3551</v>
      </c>
      <c r="G74" s="12"/>
      <c r="H74" s="12"/>
      <c r="I74" s="21">
        <f>SUM(I59:I72)</f>
        <v>24331397.63</v>
      </c>
      <c r="J74" s="23"/>
      <c r="K74" s="22">
        <f>SUM(K59:K72)</f>
        <v>3444</v>
      </c>
      <c r="L74" s="12"/>
      <c r="M74" s="23"/>
      <c r="N74" s="31"/>
      <c r="O74" s="12"/>
      <c r="P74" s="21">
        <v>37947496.33</v>
      </c>
      <c r="Q74" s="23"/>
      <c r="R74" s="22">
        <v>5626</v>
      </c>
      <c r="S74" s="12"/>
      <c r="T74" s="23"/>
      <c r="U74" s="31"/>
      <c r="V74" s="12"/>
      <c r="W74" s="21">
        <f>SUM(W59:W73)</f>
        <v>46643003.69000003</v>
      </c>
      <c r="X74" s="23"/>
      <c r="Y74" s="22">
        <f>SUM(Y59:Y73)</f>
        <v>7066</v>
      </c>
      <c r="Z74" s="12"/>
      <c r="AA74" s="23"/>
      <c r="AB74" s="31"/>
      <c r="AC74" s="12"/>
      <c r="AD74" s="21">
        <f>SUM(AD59:AD73)</f>
        <v>50091649.03999998</v>
      </c>
      <c r="AE74" s="23"/>
      <c r="AF74" s="22">
        <f>SUM(AF59:AF73)</f>
        <v>7930</v>
      </c>
      <c r="AG74" s="12"/>
      <c r="AH74" s="23"/>
      <c r="AI74" s="31"/>
      <c r="AJ74" s="12"/>
      <c r="AK74" s="21">
        <f>SUM(AK59:AK73)</f>
        <v>56058896.37</v>
      </c>
      <c r="AL74" s="23"/>
      <c r="AM74" s="22">
        <f>SUM(AM59:AM73)</f>
        <v>9036</v>
      </c>
      <c r="AN74" s="12"/>
      <c r="AO74" s="23"/>
      <c r="AP74" s="31"/>
      <c r="AQ74" s="12"/>
      <c r="AR74" s="21">
        <f>SUM(AR59:AR73)</f>
        <v>67578330.17</v>
      </c>
      <c r="AS74" s="23"/>
      <c r="AT74" s="22">
        <f>SUM(AT59:AT73)</f>
        <v>11060</v>
      </c>
      <c r="AU74" s="12"/>
      <c r="AV74" s="23"/>
      <c r="AW74" s="31"/>
      <c r="AX74" s="12"/>
      <c r="AY74" s="21">
        <f>SUM(AY59:AY73)</f>
        <v>72795789.38000005</v>
      </c>
      <c r="AZ74" s="23"/>
      <c r="BA74" s="22">
        <f>SUM(BA59:BA73)</f>
        <v>12158</v>
      </c>
      <c r="BB74" s="12"/>
      <c r="BC74" s="23"/>
      <c r="BD74" s="31"/>
      <c r="BE74" s="21">
        <f>SUM(BE59:BE73)</f>
        <v>64546191.59999995</v>
      </c>
      <c r="BF74" s="23"/>
      <c r="BG74" s="22">
        <f>SUM(BG59:BG73)</f>
        <v>11082</v>
      </c>
      <c r="BH74" s="12"/>
      <c r="BI74" s="23"/>
      <c r="BJ74" s="31"/>
      <c r="BK74" s="12"/>
      <c r="BL74" s="21">
        <f>SUM(BL59:BL73)</f>
        <v>55923813.82000003</v>
      </c>
      <c r="BM74" s="23"/>
      <c r="BN74" s="22">
        <f>SUM(BN59:BN73)</f>
        <v>10194</v>
      </c>
      <c r="BO74" s="12"/>
      <c r="BP74" s="23"/>
      <c r="BQ74" s="31"/>
      <c r="BR74" s="12"/>
      <c r="BS74" s="21">
        <f>SUM(BS59:BS73)</f>
        <v>53697277.10999998</v>
      </c>
      <c r="BT74" s="23"/>
      <c r="BU74" s="22">
        <f>SUM(BU59:BU73)</f>
        <v>10082</v>
      </c>
      <c r="BV74" s="12"/>
      <c r="BW74" s="23"/>
      <c r="BX74" s="31"/>
      <c r="BY74" s="12"/>
      <c r="BZ74" s="21">
        <f>SUM(BZ59:BZ73)</f>
        <v>52984697.730000004</v>
      </c>
      <c r="CA74" s="23"/>
      <c r="CB74" s="22">
        <f>SUM(CB59:CB73)</f>
        <v>9880</v>
      </c>
      <c r="CC74" s="12"/>
      <c r="CD74" s="23"/>
      <c r="CE74" s="31"/>
      <c r="CF74" s="12"/>
      <c r="CG74" s="21">
        <f>SUM(CG59:CG73)</f>
        <v>51490153.43000001</v>
      </c>
      <c r="CH74" s="23"/>
      <c r="CI74" s="22">
        <f>SUM(CI59:CI73)</f>
        <v>9411</v>
      </c>
      <c r="CJ74" s="12"/>
      <c r="CK74" s="23"/>
      <c r="CL74" s="31"/>
      <c r="CM74" s="12"/>
      <c r="CN74" s="21">
        <f>SUM(CN59:CN73)</f>
        <v>45645265.17</v>
      </c>
      <c r="CO74" s="23"/>
      <c r="CP74" s="22">
        <f>SUM(CP59:CP73)</f>
        <v>8467</v>
      </c>
      <c r="CQ74" s="12"/>
      <c r="CR74" s="23"/>
      <c r="CS74" s="31"/>
      <c r="CT74" s="12"/>
      <c r="CU74" s="21">
        <f>SUM(CU59:CU73)</f>
        <v>71625476.24999999</v>
      </c>
      <c r="CV74" s="23"/>
      <c r="CW74" s="22">
        <f>SUM(CW59:CW73)</f>
        <v>13459</v>
      </c>
      <c r="CX74" s="12"/>
      <c r="CY74" s="23"/>
      <c r="CZ74" s="31"/>
      <c r="DA74" s="12"/>
    </row>
    <row r="75" spans="1:105" ht="13.5" thickTop="1">
      <c r="A75" s="12"/>
      <c r="B75" s="8"/>
      <c r="C75" s="8"/>
      <c r="D75" s="9"/>
      <c r="E75" s="8"/>
      <c r="F75" s="10"/>
      <c r="G75" s="8"/>
      <c r="H75" s="8"/>
      <c r="I75" s="9"/>
      <c r="J75" s="8"/>
      <c r="K75" s="10"/>
      <c r="L75" s="8"/>
      <c r="M75" s="8"/>
      <c r="N75" s="10"/>
      <c r="O75" s="8"/>
      <c r="P75" s="9"/>
      <c r="Q75" s="8"/>
      <c r="R75" s="10"/>
      <c r="S75" s="8"/>
      <c r="T75" s="8"/>
      <c r="U75" s="10"/>
      <c r="V75" s="8"/>
      <c r="W75" s="9"/>
      <c r="X75" s="8"/>
      <c r="Y75" s="10"/>
      <c r="Z75" s="8"/>
      <c r="AA75" s="8"/>
      <c r="AB75" s="10"/>
      <c r="AC75" s="8"/>
      <c r="AD75" s="9"/>
      <c r="AE75" s="8"/>
      <c r="AF75" s="10"/>
      <c r="AG75" s="8"/>
      <c r="AH75" s="8"/>
      <c r="AI75" s="10"/>
      <c r="AJ75" s="8"/>
      <c r="AK75" s="9"/>
      <c r="AL75" s="8"/>
      <c r="AM75" s="10"/>
      <c r="AN75" s="8"/>
      <c r="AO75" s="8"/>
      <c r="AP75" s="10"/>
      <c r="AQ75" s="8"/>
      <c r="AR75" s="9"/>
      <c r="AS75" s="8"/>
      <c r="AT75" s="10"/>
      <c r="AU75" s="8"/>
      <c r="AV75" s="8"/>
      <c r="AW75" s="10"/>
      <c r="AX75" s="8"/>
      <c r="AY75" s="9"/>
      <c r="AZ75" s="8"/>
      <c r="BA75" s="10"/>
      <c r="BB75" s="8"/>
      <c r="BC75" s="8"/>
      <c r="BD75" s="10"/>
      <c r="BE75" s="9"/>
      <c r="BF75" s="8"/>
      <c r="BG75" s="10"/>
      <c r="BH75" s="8"/>
      <c r="BI75" s="8"/>
      <c r="BJ75" s="10"/>
      <c r="BK75" s="8"/>
      <c r="BL75" s="9"/>
      <c r="BM75" s="8"/>
      <c r="BN75" s="10"/>
      <c r="BO75" s="8"/>
      <c r="BP75" s="8"/>
      <c r="BQ75" s="10"/>
      <c r="BR75" s="8"/>
      <c r="BS75" s="9"/>
      <c r="BT75" s="8"/>
      <c r="BU75" s="10"/>
      <c r="BV75" s="8"/>
      <c r="BW75" s="8"/>
      <c r="BX75" s="10"/>
      <c r="BY75" s="8"/>
      <c r="BZ75" s="9"/>
      <c r="CA75" s="8"/>
      <c r="CB75" s="10"/>
      <c r="CC75" s="8"/>
      <c r="CD75" s="8"/>
      <c r="CE75" s="10"/>
      <c r="CF75" s="8"/>
      <c r="CG75" s="9"/>
      <c r="CH75" s="8"/>
      <c r="CI75" s="10"/>
      <c r="CJ75" s="8"/>
      <c r="CK75" s="8"/>
      <c r="CL75" s="10"/>
      <c r="CM75" s="8"/>
      <c r="CN75" s="9"/>
      <c r="CO75" s="8"/>
      <c r="CP75" s="10"/>
      <c r="CQ75" s="8"/>
      <c r="CR75" s="8"/>
      <c r="CS75" s="10"/>
      <c r="CT75" s="8"/>
      <c r="CU75" s="9"/>
      <c r="CV75" s="8"/>
      <c r="CW75" s="10"/>
      <c r="CX75" s="8"/>
      <c r="CY75" s="8"/>
      <c r="CZ75" s="10"/>
      <c r="DA75" s="8"/>
    </row>
    <row r="76" spans="1:105" ht="12.75">
      <c r="A76" s="8"/>
      <c r="B76" s="8"/>
      <c r="C76" s="8"/>
      <c r="D76" s="9"/>
      <c r="E76" s="8"/>
      <c r="F76" s="10"/>
      <c r="G76" s="8"/>
      <c r="H76" s="8"/>
      <c r="I76" s="8"/>
      <c r="J76" s="8"/>
      <c r="K76" s="8"/>
      <c r="L76" s="9"/>
      <c r="M76" s="8"/>
      <c r="N76" s="10"/>
      <c r="O76" s="8"/>
      <c r="P76" s="8"/>
      <c r="Q76" s="8"/>
      <c r="R76" s="8"/>
      <c r="S76" s="9"/>
      <c r="T76" s="8"/>
      <c r="U76" s="10"/>
      <c r="V76" s="8"/>
      <c r="W76" s="8"/>
      <c r="X76" s="8"/>
      <c r="Y76" s="8"/>
      <c r="Z76" s="9"/>
      <c r="AA76" s="8"/>
      <c r="AB76" s="10"/>
      <c r="AC76" s="8"/>
      <c r="AD76" s="8"/>
      <c r="AE76" s="8"/>
      <c r="AF76" s="8"/>
      <c r="AG76" s="9"/>
      <c r="AH76" s="8"/>
      <c r="AI76" s="10"/>
      <c r="AJ76" s="8"/>
      <c r="AK76" s="8"/>
      <c r="AL76" s="8"/>
      <c r="AM76" s="8"/>
      <c r="AN76" s="9"/>
      <c r="AO76" s="8"/>
      <c r="AP76" s="10"/>
      <c r="AQ76" s="8"/>
      <c r="AR76" s="8"/>
      <c r="AS76" s="8"/>
      <c r="AT76" s="8"/>
      <c r="AU76" s="9"/>
      <c r="AV76" s="8"/>
      <c r="AW76" s="10"/>
      <c r="AX76" s="8"/>
      <c r="AY76" s="8"/>
      <c r="AZ76" s="8"/>
      <c r="BA76" s="8"/>
      <c r="BB76" s="9"/>
      <c r="BC76" s="8"/>
      <c r="BD76" s="10"/>
      <c r="BE76" s="8"/>
      <c r="BF76" s="8"/>
      <c r="BG76" s="8"/>
      <c r="BH76" s="9"/>
      <c r="BI76" s="8"/>
      <c r="BJ76" s="10"/>
      <c r="BK76" s="8"/>
      <c r="BL76" s="8"/>
      <c r="BM76" s="8"/>
      <c r="BN76" s="8"/>
      <c r="BO76" s="9"/>
      <c r="BP76" s="8"/>
      <c r="BQ76" s="10"/>
      <c r="BR76" s="8"/>
      <c r="BS76" s="8"/>
      <c r="BT76" s="8"/>
      <c r="BU76" s="8"/>
      <c r="BV76" s="9"/>
      <c r="BW76" s="8"/>
      <c r="BX76" s="10"/>
      <c r="BY76" s="8"/>
      <c r="BZ76" s="8"/>
      <c r="CA76" s="8"/>
      <c r="CB76" s="8"/>
      <c r="CC76" s="9"/>
      <c r="CD76" s="8"/>
      <c r="CE76" s="10"/>
      <c r="CF76" s="8"/>
      <c r="CG76" s="8"/>
      <c r="CH76" s="8"/>
      <c r="CI76" s="8"/>
      <c r="CJ76" s="9"/>
      <c r="CK76" s="8"/>
      <c r="CL76" s="10"/>
      <c r="CM76" s="8"/>
      <c r="CN76" s="8"/>
      <c r="CO76" s="8"/>
      <c r="CP76" s="8"/>
      <c r="CQ76" s="9"/>
      <c r="CR76" s="8"/>
      <c r="CS76" s="10"/>
      <c r="CT76" s="8"/>
      <c r="CU76" s="8"/>
      <c r="CV76" s="8"/>
      <c r="CW76" s="8"/>
      <c r="CX76" s="9"/>
      <c r="CY76" s="8"/>
      <c r="CZ76" s="10"/>
      <c r="DA76" s="8"/>
    </row>
    <row r="77" spans="1:105" ht="12.75">
      <c r="A77" s="8"/>
      <c r="B77" s="8"/>
      <c r="C77" s="8"/>
      <c r="D77" s="9"/>
      <c r="E77" s="8"/>
      <c r="F77" s="10"/>
      <c r="G77" s="8"/>
      <c r="H77" s="8"/>
      <c r="I77" s="8"/>
      <c r="J77" s="8"/>
      <c r="K77" s="8"/>
      <c r="L77" s="9"/>
      <c r="M77" s="8"/>
      <c r="N77" s="10"/>
      <c r="O77" s="8"/>
      <c r="P77" s="8"/>
      <c r="Q77" s="8"/>
      <c r="R77" s="8"/>
      <c r="S77" s="9"/>
      <c r="T77" s="8"/>
      <c r="U77" s="10"/>
      <c r="V77" s="8"/>
      <c r="W77" s="8"/>
      <c r="X77" s="8"/>
      <c r="Y77" s="8"/>
      <c r="Z77" s="9"/>
      <c r="AA77" s="8"/>
      <c r="AB77" s="10"/>
      <c r="AC77" s="8"/>
      <c r="AD77" s="8"/>
      <c r="AE77" s="8"/>
      <c r="AF77" s="8"/>
      <c r="AG77" s="9"/>
      <c r="AH77" s="8"/>
      <c r="AI77" s="10"/>
      <c r="AJ77" s="8"/>
      <c r="AK77" s="8"/>
      <c r="AL77" s="8"/>
      <c r="AM77" s="8"/>
      <c r="AN77" s="9"/>
      <c r="AO77" s="8"/>
      <c r="AP77" s="10"/>
      <c r="AQ77" s="8"/>
      <c r="AR77" s="8"/>
      <c r="AS77" s="8"/>
      <c r="AT77" s="8"/>
      <c r="AU77" s="9"/>
      <c r="AV77" s="8"/>
      <c r="AW77" s="10"/>
      <c r="AX77" s="8"/>
      <c r="AY77" s="8"/>
      <c r="AZ77" s="8"/>
      <c r="BA77" s="8"/>
      <c r="BB77" s="9"/>
      <c r="BC77" s="8"/>
      <c r="BD77" s="10"/>
      <c r="BE77" s="8"/>
      <c r="BF77" s="8"/>
      <c r="BG77" s="8"/>
      <c r="BH77" s="9"/>
      <c r="BI77" s="8"/>
      <c r="BJ77" s="10"/>
      <c r="BK77" s="8"/>
      <c r="BL77" s="8"/>
      <c r="BM77" s="8"/>
      <c r="BN77" s="8"/>
      <c r="BO77" s="9"/>
      <c r="BP77" s="8"/>
      <c r="BQ77" s="10"/>
      <c r="BR77" s="8"/>
      <c r="BS77" s="8"/>
      <c r="BT77" s="8"/>
      <c r="BU77" s="8"/>
      <c r="BV77" s="9"/>
      <c r="BW77" s="8"/>
      <c r="BX77" s="10"/>
      <c r="BY77" s="8"/>
      <c r="BZ77" s="8"/>
      <c r="CA77" s="8"/>
      <c r="CB77" s="8"/>
      <c r="CC77" s="9"/>
      <c r="CD77" s="8"/>
      <c r="CE77" s="10"/>
      <c r="CF77" s="8"/>
      <c r="CG77" s="8"/>
      <c r="CH77" s="8"/>
      <c r="CI77" s="8"/>
      <c r="CJ77" s="9"/>
      <c r="CK77" s="8"/>
      <c r="CL77" s="10"/>
      <c r="CM77" s="8"/>
      <c r="CN77" s="8"/>
      <c r="CO77" s="8"/>
      <c r="CP77" s="8"/>
      <c r="CQ77" s="9"/>
      <c r="CR77" s="8"/>
      <c r="CS77" s="10"/>
      <c r="CT77" s="8"/>
      <c r="CU77" s="8"/>
      <c r="CV77" s="8"/>
      <c r="CW77" s="8"/>
      <c r="CX77" s="9"/>
      <c r="CY77" s="8"/>
      <c r="CZ77" s="10"/>
      <c r="DA77" s="8"/>
    </row>
    <row r="78" spans="1:105" ht="12.75">
      <c r="A78" s="19" t="s">
        <v>109</v>
      </c>
      <c r="B78" s="8"/>
      <c r="C78" s="8"/>
      <c r="D78" s="9"/>
      <c r="E78" s="8"/>
      <c r="F78" s="10"/>
      <c r="G78" s="8"/>
      <c r="H78" s="8"/>
      <c r="I78" s="19" t="s">
        <v>109</v>
      </c>
      <c r="J78" s="8"/>
      <c r="K78" s="8"/>
      <c r="L78" s="9"/>
      <c r="M78" s="8"/>
      <c r="N78" s="10"/>
      <c r="O78" s="8"/>
      <c r="P78" s="19" t="s">
        <v>109</v>
      </c>
      <c r="Q78" s="8"/>
      <c r="R78" s="8"/>
      <c r="S78" s="9"/>
      <c r="T78" s="8"/>
      <c r="U78" s="10"/>
      <c r="V78" s="8"/>
      <c r="W78" s="19" t="s">
        <v>109</v>
      </c>
      <c r="X78" s="8"/>
      <c r="Y78" s="8"/>
      <c r="Z78" s="9"/>
      <c r="AA78" s="8"/>
      <c r="AB78" s="10"/>
      <c r="AC78" s="8"/>
      <c r="AD78" s="19" t="s">
        <v>109</v>
      </c>
      <c r="AE78" s="8"/>
      <c r="AF78" s="8"/>
      <c r="AG78" s="9"/>
      <c r="AH78" s="8"/>
      <c r="AI78" s="10"/>
      <c r="AJ78" s="8"/>
      <c r="AK78" s="19" t="s">
        <v>109</v>
      </c>
      <c r="AL78" s="8"/>
      <c r="AM78" s="8"/>
      <c r="AN78" s="9"/>
      <c r="AO78" s="8"/>
      <c r="AP78" s="10"/>
      <c r="AQ78" s="8"/>
      <c r="AR78" s="19" t="s">
        <v>109</v>
      </c>
      <c r="AS78" s="8"/>
      <c r="AT78" s="8"/>
      <c r="AU78" s="9"/>
      <c r="AV78" s="8"/>
      <c r="AW78" s="10"/>
      <c r="AX78" s="8"/>
      <c r="AY78" s="19" t="s">
        <v>109</v>
      </c>
      <c r="AZ78" s="8"/>
      <c r="BA78" s="8"/>
      <c r="BB78" s="9"/>
      <c r="BC78" s="8"/>
      <c r="BD78" s="10"/>
      <c r="BE78" s="19" t="s">
        <v>109</v>
      </c>
      <c r="BF78" s="8"/>
      <c r="BG78" s="8"/>
      <c r="BH78" s="9"/>
      <c r="BI78" s="8"/>
      <c r="BJ78" s="10"/>
      <c r="BK78" s="8"/>
      <c r="BL78" s="19" t="s">
        <v>109</v>
      </c>
      <c r="BM78" s="8"/>
      <c r="BN78" s="8"/>
      <c r="BO78" s="9"/>
      <c r="BP78" s="8"/>
      <c r="BQ78" s="10"/>
      <c r="BR78" s="8"/>
      <c r="BS78" s="19" t="s">
        <v>109</v>
      </c>
      <c r="BT78" s="8"/>
      <c r="BU78" s="8"/>
      <c r="BV78" s="9"/>
      <c r="BW78" s="8"/>
      <c r="BX78" s="10"/>
      <c r="BY78" s="8"/>
      <c r="BZ78" s="19" t="s">
        <v>109</v>
      </c>
      <c r="CA78" s="8"/>
      <c r="CB78" s="8"/>
      <c r="CC78" s="9"/>
      <c r="CD78" s="8"/>
      <c r="CE78" s="10"/>
      <c r="CF78" s="8"/>
      <c r="CG78" s="19" t="s">
        <v>109</v>
      </c>
      <c r="CH78" s="8"/>
      <c r="CI78" s="8"/>
      <c r="CJ78" s="9"/>
      <c r="CK78" s="8"/>
      <c r="CL78" s="10"/>
      <c r="CM78" s="8"/>
      <c r="CN78" s="19" t="s">
        <v>109</v>
      </c>
      <c r="CO78" s="8"/>
      <c r="CP78" s="8"/>
      <c r="CQ78" s="9"/>
      <c r="CR78" s="8"/>
      <c r="CS78" s="10"/>
      <c r="CT78" s="8"/>
      <c r="CU78" s="19" t="s">
        <v>109</v>
      </c>
      <c r="CV78" s="8"/>
      <c r="CW78" s="8"/>
      <c r="CX78" s="9"/>
      <c r="CY78" s="8"/>
      <c r="CZ78" s="10"/>
      <c r="DA78" s="8"/>
    </row>
    <row r="79" spans="1:105" ht="12.75">
      <c r="A79" s="19"/>
      <c r="B79" s="8"/>
      <c r="C79" s="8"/>
      <c r="D79" s="9"/>
      <c r="E79" s="8"/>
      <c r="F79" s="10"/>
      <c r="G79" s="8"/>
      <c r="H79" s="8"/>
      <c r="I79" s="19"/>
      <c r="J79" s="8"/>
      <c r="K79" s="8"/>
      <c r="L79" s="9"/>
      <c r="M79" s="8"/>
      <c r="N79" s="10"/>
      <c r="O79" s="8"/>
      <c r="P79" s="19"/>
      <c r="Q79" s="8"/>
      <c r="R79" s="8"/>
      <c r="S79" s="9"/>
      <c r="T79" s="8"/>
      <c r="U79" s="10"/>
      <c r="V79" s="8"/>
      <c r="W79" s="19"/>
      <c r="X79" s="8"/>
      <c r="Y79" s="8"/>
      <c r="Z79" s="9"/>
      <c r="AA79" s="8"/>
      <c r="AB79" s="10"/>
      <c r="AC79" s="8"/>
      <c r="AD79" s="19"/>
      <c r="AE79" s="8"/>
      <c r="AF79" s="8"/>
      <c r="AG79" s="9"/>
      <c r="AH79" s="8"/>
      <c r="AI79" s="10"/>
      <c r="AJ79" s="8"/>
      <c r="AK79" s="19"/>
      <c r="AL79" s="8"/>
      <c r="AM79" s="8"/>
      <c r="AN79" s="9"/>
      <c r="AO79" s="8"/>
      <c r="AP79" s="10"/>
      <c r="AQ79" s="8"/>
      <c r="AR79" s="19"/>
      <c r="AS79" s="8"/>
      <c r="AT79" s="8"/>
      <c r="AU79" s="9"/>
      <c r="AV79" s="8"/>
      <c r="AW79" s="10"/>
      <c r="AX79" s="8"/>
      <c r="AY79" s="19"/>
      <c r="AZ79" s="8"/>
      <c r="BA79" s="8"/>
      <c r="BB79" s="9"/>
      <c r="BC79" s="8"/>
      <c r="BD79" s="10"/>
      <c r="BE79" s="19"/>
      <c r="BF79" s="8"/>
      <c r="BG79" s="8"/>
      <c r="BH79" s="9"/>
      <c r="BI79" s="8"/>
      <c r="BJ79" s="10"/>
      <c r="BK79" s="8"/>
      <c r="BL79" s="19"/>
      <c r="BM79" s="8"/>
      <c r="BN79" s="8"/>
      <c r="BO79" s="9"/>
      <c r="BP79" s="8"/>
      <c r="BQ79" s="10"/>
      <c r="BR79" s="8"/>
      <c r="BS79" s="19"/>
      <c r="BT79" s="8"/>
      <c r="BU79" s="8"/>
      <c r="BV79" s="9"/>
      <c r="BW79" s="8"/>
      <c r="BX79" s="10"/>
      <c r="BY79" s="8"/>
      <c r="BZ79" s="19"/>
      <c r="CA79" s="8"/>
      <c r="CB79" s="8"/>
      <c r="CC79" s="9"/>
      <c r="CD79" s="8"/>
      <c r="CE79" s="10"/>
      <c r="CF79" s="8"/>
      <c r="CG79" s="19"/>
      <c r="CH79" s="8"/>
      <c r="CI79" s="8"/>
      <c r="CJ79" s="9"/>
      <c r="CK79" s="8"/>
      <c r="CL79" s="10"/>
      <c r="CM79" s="8"/>
      <c r="CN79" s="19"/>
      <c r="CO79" s="8"/>
      <c r="CP79" s="8"/>
      <c r="CQ79" s="9"/>
      <c r="CR79" s="8"/>
      <c r="CS79" s="10"/>
      <c r="CT79" s="8"/>
      <c r="CU79" s="19"/>
      <c r="CV79" s="8"/>
      <c r="CW79" s="8"/>
      <c r="CX79" s="9"/>
      <c r="CY79" s="8"/>
      <c r="CZ79" s="10"/>
      <c r="DA79" s="8"/>
    </row>
    <row r="80" spans="1:105" s="29" customFormat="1" ht="12.75">
      <c r="A80" s="25"/>
      <c r="B80" s="26"/>
      <c r="C80" s="26"/>
      <c r="D80" s="27" t="s">
        <v>99</v>
      </c>
      <c r="E80" s="26" t="s">
        <v>100</v>
      </c>
      <c r="F80" s="28" t="s">
        <v>101</v>
      </c>
      <c r="G80" s="26" t="s">
        <v>100</v>
      </c>
      <c r="H80" s="26"/>
      <c r="I80" s="27" t="s">
        <v>99</v>
      </c>
      <c r="J80" s="26" t="s">
        <v>100</v>
      </c>
      <c r="K80" s="28" t="s">
        <v>101</v>
      </c>
      <c r="L80" s="26" t="s">
        <v>100</v>
      </c>
      <c r="M80" s="64"/>
      <c r="N80" s="65"/>
      <c r="O80" s="64"/>
      <c r="P80" s="27" t="s">
        <v>99</v>
      </c>
      <c r="Q80" s="26" t="s">
        <v>100</v>
      </c>
      <c r="R80" s="28" t="s">
        <v>101</v>
      </c>
      <c r="S80" s="26" t="s">
        <v>100</v>
      </c>
      <c r="T80" s="64"/>
      <c r="U80" s="65"/>
      <c r="V80" s="64"/>
      <c r="W80" s="27" t="s">
        <v>99</v>
      </c>
      <c r="X80" s="26" t="s">
        <v>100</v>
      </c>
      <c r="Y80" s="28" t="s">
        <v>101</v>
      </c>
      <c r="Z80" s="26" t="s">
        <v>100</v>
      </c>
      <c r="AA80" s="64"/>
      <c r="AB80" s="65"/>
      <c r="AC80" s="64"/>
      <c r="AD80" s="27" t="s">
        <v>99</v>
      </c>
      <c r="AE80" s="26" t="s">
        <v>100</v>
      </c>
      <c r="AF80" s="28" t="s">
        <v>101</v>
      </c>
      <c r="AG80" s="26" t="s">
        <v>100</v>
      </c>
      <c r="AH80" s="64"/>
      <c r="AI80" s="65"/>
      <c r="AJ80" s="64"/>
      <c r="AK80" s="27" t="s">
        <v>99</v>
      </c>
      <c r="AL80" s="26" t="s">
        <v>100</v>
      </c>
      <c r="AM80" s="28" t="s">
        <v>101</v>
      </c>
      <c r="AN80" s="26" t="s">
        <v>100</v>
      </c>
      <c r="AO80" s="64"/>
      <c r="AP80" s="65"/>
      <c r="AQ80" s="64"/>
      <c r="AR80" s="27" t="s">
        <v>99</v>
      </c>
      <c r="AS80" s="26" t="s">
        <v>100</v>
      </c>
      <c r="AT80" s="28" t="s">
        <v>101</v>
      </c>
      <c r="AU80" s="26" t="s">
        <v>100</v>
      </c>
      <c r="AV80" s="64"/>
      <c r="AW80" s="65"/>
      <c r="AX80" s="64"/>
      <c r="AY80" s="89" t="s">
        <v>99</v>
      </c>
      <c r="AZ80" s="44" t="s">
        <v>100</v>
      </c>
      <c r="BA80" s="88" t="s">
        <v>101</v>
      </c>
      <c r="BB80" s="44" t="s">
        <v>100</v>
      </c>
      <c r="BC80" s="64"/>
      <c r="BD80" s="65"/>
      <c r="BE80" s="89" t="s">
        <v>99</v>
      </c>
      <c r="BF80" s="44" t="s">
        <v>100</v>
      </c>
      <c r="BG80" s="88" t="s">
        <v>101</v>
      </c>
      <c r="BH80" s="44" t="s">
        <v>100</v>
      </c>
      <c r="BI80" s="64"/>
      <c r="BJ80" s="65"/>
      <c r="BK80" s="64"/>
      <c r="BL80" s="89" t="s">
        <v>99</v>
      </c>
      <c r="BM80" s="44" t="s">
        <v>100</v>
      </c>
      <c r="BN80" s="88" t="s">
        <v>101</v>
      </c>
      <c r="BO80" s="44" t="s">
        <v>100</v>
      </c>
      <c r="BP80" s="64"/>
      <c r="BQ80" s="65"/>
      <c r="BR80" s="64"/>
      <c r="BS80" s="89" t="s">
        <v>99</v>
      </c>
      <c r="BT80" s="44" t="s">
        <v>100</v>
      </c>
      <c r="BU80" s="88" t="s">
        <v>101</v>
      </c>
      <c r="BV80" s="44" t="s">
        <v>100</v>
      </c>
      <c r="BW80" s="64"/>
      <c r="BX80" s="65"/>
      <c r="BY80" s="64"/>
      <c r="BZ80" s="89" t="s">
        <v>99</v>
      </c>
      <c r="CA80" s="44" t="s">
        <v>100</v>
      </c>
      <c r="CB80" s="88" t="s">
        <v>101</v>
      </c>
      <c r="CC80" s="44" t="s">
        <v>100</v>
      </c>
      <c r="CD80" s="64"/>
      <c r="CE80" s="65"/>
      <c r="CF80" s="64"/>
      <c r="CG80" s="89" t="s">
        <v>99</v>
      </c>
      <c r="CH80" s="44" t="s">
        <v>100</v>
      </c>
      <c r="CI80" s="88" t="s">
        <v>101</v>
      </c>
      <c r="CJ80" s="44" t="s">
        <v>100</v>
      </c>
      <c r="CK80" s="64"/>
      <c r="CL80" s="65"/>
      <c r="CM80" s="64"/>
      <c r="CN80" s="89" t="s">
        <v>99</v>
      </c>
      <c r="CO80" s="44" t="s">
        <v>100</v>
      </c>
      <c r="CP80" s="88" t="s">
        <v>101</v>
      </c>
      <c r="CQ80" s="44" t="s">
        <v>100</v>
      </c>
      <c r="CR80" s="64"/>
      <c r="CS80" s="65"/>
      <c r="CT80" s="64"/>
      <c r="CU80" s="89" t="s">
        <v>99</v>
      </c>
      <c r="CV80" s="44" t="s">
        <v>100</v>
      </c>
      <c r="CW80" s="88" t="s">
        <v>101</v>
      </c>
      <c r="CX80" s="44" t="s">
        <v>100</v>
      </c>
      <c r="CY80" s="64"/>
      <c r="CZ80" s="65"/>
      <c r="DA80" s="64"/>
    </row>
    <row r="81" spans="1:105" ht="12.75">
      <c r="A81" s="12"/>
      <c r="B81" s="8"/>
      <c r="C81" s="8"/>
      <c r="D81" s="9"/>
      <c r="E81" s="8"/>
      <c r="F81" s="10"/>
      <c r="G81" s="8"/>
      <c r="H81" s="8"/>
      <c r="I81" s="9"/>
      <c r="J81" s="8"/>
      <c r="K81" s="10"/>
      <c r="L81" s="8"/>
      <c r="M81" s="54"/>
      <c r="N81" s="55"/>
      <c r="O81" s="54"/>
      <c r="P81" s="9"/>
      <c r="Q81" s="8"/>
      <c r="R81" s="10"/>
      <c r="S81" s="8"/>
      <c r="T81" s="54"/>
      <c r="U81" s="55"/>
      <c r="V81" s="54"/>
      <c r="W81" s="9"/>
      <c r="X81" s="8"/>
      <c r="Y81" s="10"/>
      <c r="Z81" s="8"/>
      <c r="AA81" s="54"/>
      <c r="AB81" s="55"/>
      <c r="AC81" s="54"/>
      <c r="AD81" s="9"/>
      <c r="AE81" s="8"/>
      <c r="AF81" s="10"/>
      <c r="AG81" s="8"/>
      <c r="AH81" s="54"/>
      <c r="AI81" s="55"/>
      <c r="AJ81" s="54"/>
      <c r="AK81" s="9"/>
      <c r="AL81" s="8"/>
      <c r="AM81" s="10"/>
      <c r="AN81" s="8"/>
      <c r="AO81" s="54"/>
      <c r="AP81" s="55"/>
      <c r="AQ81" s="54"/>
      <c r="AR81" s="9"/>
      <c r="AS81" s="8"/>
      <c r="AT81" s="10"/>
      <c r="AU81" s="8"/>
      <c r="AV81" s="54"/>
      <c r="AW81" s="55"/>
      <c r="AX81" s="54"/>
      <c r="AY81" s="9"/>
      <c r="AZ81" s="8"/>
      <c r="BA81" s="10"/>
      <c r="BB81" s="8"/>
      <c r="BC81" s="54"/>
      <c r="BD81" s="55"/>
      <c r="BE81" s="9"/>
      <c r="BF81" s="8"/>
      <c r="BG81" s="10"/>
      <c r="BH81" s="8"/>
      <c r="BI81" s="54"/>
      <c r="BJ81" s="55"/>
      <c r="BK81" s="54"/>
      <c r="BL81" s="9"/>
      <c r="BM81" s="8"/>
      <c r="BN81" s="10"/>
      <c r="BO81" s="8"/>
      <c r="BP81" s="54"/>
      <c r="BQ81" s="55"/>
      <c r="BR81" s="54"/>
      <c r="BS81" s="9"/>
      <c r="BT81" s="8"/>
      <c r="BU81" s="10"/>
      <c r="BV81" s="8"/>
      <c r="BW81" s="54"/>
      <c r="BX81" s="55"/>
      <c r="BY81" s="54"/>
      <c r="BZ81" s="9"/>
      <c r="CA81" s="8"/>
      <c r="CB81" s="10"/>
      <c r="CC81" s="8"/>
      <c r="CD81" s="54"/>
      <c r="CE81" s="55"/>
      <c r="CF81" s="54"/>
      <c r="CG81" s="9"/>
      <c r="CH81" s="8"/>
      <c r="CI81" s="10"/>
      <c r="CJ81" s="8"/>
      <c r="CK81" s="54"/>
      <c r="CL81" s="55"/>
      <c r="CM81" s="54"/>
      <c r="CN81" s="9"/>
      <c r="CO81" s="8"/>
      <c r="CP81" s="10"/>
      <c r="CQ81" s="8"/>
      <c r="CR81" s="54"/>
      <c r="CS81" s="55"/>
      <c r="CT81" s="54"/>
      <c r="CU81" s="9"/>
      <c r="CV81" s="8"/>
      <c r="CW81" s="10"/>
      <c r="CX81" s="8"/>
      <c r="CY81" s="54"/>
      <c r="CZ81" s="55"/>
      <c r="DA81" s="54"/>
    </row>
    <row r="82" spans="1:105" ht="12.75">
      <c r="A82" s="8" t="s">
        <v>25</v>
      </c>
      <c r="B82" s="8"/>
      <c r="C82" s="8"/>
      <c r="D82" s="9">
        <v>5337369.55</v>
      </c>
      <c r="E82" s="14">
        <f>+D82/D95</f>
        <v>0.20209998631142861</v>
      </c>
      <c r="F82" s="10">
        <v>518</v>
      </c>
      <c r="G82" s="14">
        <f>+F82/F95</f>
        <v>0.14587440157702056</v>
      </c>
      <c r="H82" s="14"/>
      <c r="I82" s="9">
        <v>4870067.87</v>
      </c>
      <c r="J82" s="14">
        <f>+I82/I95</f>
        <v>0.20015569775553407</v>
      </c>
      <c r="K82" s="10">
        <v>506</v>
      </c>
      <c r="L82" s="14">
        <f>+K82/K95</f>
        <v>0.14692218350754935</v>
      </c>
      <c r="M82" s="56"/>
      <c r="N82" s="55"/>
      <c r="O82" s="56"/>
      <c r="P82" s="9">
        <v>6938591.109999997</v>
      </c>
      <c r="Q82" s="14">
        <v>0.18284713831079766</v>
      </c>
      <c r="R82" s="10">
        <v>802</v>
      </c>
      <c r="S82" s="14">
        <v>0.14255243512264487</v>
      </c>
      <c r="T82" s="56"/>
      <c r="U82" s="55"/>
      <c r="V82" s="56"/>
      <c r="W82" s="9">
        <v>9650180.589999996</v>
      </c>
      <c r="X82" s="14">
        <v>0.20689449277617902</v>
      </c>
      <c r="Y82" s="10">
        <v>1134</v>
      </c>
      <c r="Z82" s="14">
        <v>0.16048683838097932</v>
      </c>
      <c r="AA82" s="56"/>
      <c r="AB82" s="55"/>
      <c r="AC82" s="56"/>
      <c r="AD82" s="9">
        <v>10613512.030000005</v>
      </c>
      <c r="AE82" s="14">
        <v>0.21188186520920355</v>
      </c>
      <c r="AF82" s="10">
        <v>1375</v>
      </c>
      <c r="AG82" s="14">
        <v>0.1733921815889029</v>
      </c>
      <c r="AH82" s="56"/>
      <c r="AI82" s="55"/>
      <c r="AJ82" s="56"/>
      <c r="AK82" s="9">
        <v>14453169.080000011</v>
      </c>
      <c r="AL82" s="14">
        <v>0.2578211491108598</v>
      </c>
      <c r="AM82" s="10">
        <v>1906</v>
      </c>
      <c r="AN82" s="14">
        <v>0.21093404161133245</v>
      </c>
      <c r="AO82" s="56"/>
      <c r="AP82" s="55"/>
      <c r="AQ82" s="56"/>
      <c r="AR82" s="9">
        <v>19568306.719999976</v>
      </c>
      <c r="AS82" s="14">
        <v>0.28956481568535314</v>
      </c>
      <c r="AT82" s="10">
        <v>2620</v>
      </c>
      <c r="AU82" s="14">
        <v>0.23688969258589512</v>
      </c>
      <c r="AV82" s="56"/>
      <c r="AW82" s="55"/>
      <c r="AX82" s="56"/>
      <c r="AY82" s="9">
        <v>26389301.269999962</v>
      </c>
      <c r="AZ82" s="14">
        <v>0.36251136906072473</v>
      </c>
      <c r="BA82" s="10">
        <v>3562</v>
      </c>
      <c r="BB82" s="14">
        <v>0.29297581839118275</v>
      </c>
      <c r="BC82" s="56"/>
      <c r="BD82" s="55"/>
      <c r="BE82" s="9">
        <v>24400480.700000048</v>
      </c>
      <c r="BF82" s="14">
        <v>0.37803129968089466</v>
      </c>
      <c r="BG82" s="10">
        <v>3240</v>
      </c>
      <c r="BH82" s="14">
        <v>0.292365998917163</v>
      </c>
      <c r="BI82" s="56"/>
      <c r="BJ82" s="55"/>
      <c r="BK82" s="56"/>
      <c r="BL82" s="9">
        <v>21855659.219999988</v>
      </c>
      <c r="BM82" s="14">
        <v>0.3908113150212899</v>
      </c>
      <c r="BN82" s="10">
        <v>3107</v>
      </c>
      <c r="BO82" s="14">
        <v>0.3047871296841279</v>
      </c>
      <c r="BP82" s="56"/>
      <c r="BQ82" s="55"/>
      <c r="BR82" s="56"/>
      <c r="BS82" s="9">
        <v>22843839.199999955</v>
      </c>
      <c r="BT82" s="14">
        <v>0.42541894914343414</v>
      </c>
      <c r="BU82" s="10">
        <v>3292</v>
      </c>
      <c r="BV82" s="14">
        <v>0.32652251537393373</v>
      </c>
      <c r="BW82" s="56"/>
      <c r="BX82" s="55"/>
      <c r="BY82" s="56"/>
      <c r="BZ82" s="9">
        <v>25136744.49000001</v>
      </c>
      <c r="CA82" s="14">
        <v>0.4744151720576398</v>
      </c>
      <c r="CB82" s="10">
        <v>3534</v>
      </c>
      <c r="CC82" s="14">
        <v>0.3576923076923077</v>
      </c>
      <c r="CD82" s="56"/>
      <c r="CE82" s="55"/>
      <c r="CF82" s="56"/>
      <c r="CG82" s="9">
        <v>26104184.210000023</v>
      </c>
      <c r="CH82" s="14">
        <v>0.5069742945219267</v>
      </c>
      <c r="CI82" s="10">
        <v>3557</v>
      </c>
      <c r="CJ82" s="14">
        <v>0.377961959409202</v>
      </c>
      <c r="CK82" s="56"/>
      <c r="CL82" s="55"/>
      <c r="CM82" s="56"/>
      <c r="CN82" s="9">
        <v>23395377.290000048</v>
      </c>
      <c r="CO82" s="14">
        <v>0.512547735298873</v>
      </c>
      <c r="CP82" s="10">
        <v>3268</v>
      </c>
      <c r="CQ82" s="14">
        <v>0.3859690563363647</v>
      </c>
      <c r="CR82" s="56"/>
      <c r="CS82" s="55"/>
      <c r="CT82" s="56"/>
      <c r="CU82" s="9">
        <v>38979590.96000002</v>
      </c>
      <c r="CV82" s="14">
        <v>0.5442140562381248</v>
      </c>
      <c r="CW82" s="10">
        <v>5828</v>
      </c>
      <c r="CX82" s="14">
        <v>0.43301879783044805</v>
      </c>
      <c r="CY82" s="56"/>
      <c r="CZ82" s="55"/>
      <c r="DA82" s="56"/>
    </row>
    <row r="83" spans="1:105" ht="12.75">
      <c r="A83" s="8" t="s">
        <v>66</v>
      </c>
      <c r="B83" s="8"/>
      <c r="C83" s="8"/>
      <c r="D83" s="9">
        <v>4866348.87</v>
      </c>
      <c r="E83" s="14">
        <f>+D83/$D$95</f>
        <v>0.18426474517089345</v>
      </c>
      <c r="F83" s="10">
        <v>631</v>
      </c>
      <c r="G83" s="14">
        <f>+F83/$F$95</f>
        <v>0.17769642354266404</v>
      </c>
      <c r="H83" s="14"/>
      <c r="I83" s="9">
        <v>4573171.250000007</v>
      </c>
      <c r="J83" s="14">
        <f>+I83/$I$95</f>
        <v>0.18795349611817616</v>
      </c>
      <c r="K83" s="10">
        <v>623</v>
      </c>
      <c r="L83" s="14">
        <f>+K83/$K$95</f>
        <v>0.18089430894308944</v>
      </c>
      <c r="M83" s="56"/>
      <c r="N83" s="55"/>
      <c r="O83" s="56"/>
      <c r="P83" s="9">
        <v>7730575.210000004</v>
      </c>
      <c r="Q83" s="14">
        <v>0.20371766144393758</v>
      </c>
      <c r="R83" s="10">
        <v>1124</v>
      </c>
      <c r="S83" s="14">
        <v>0.1997867045858514</v>
      </c>
      <c r="T83" s="56"/>
      <c r="U83" s="55"/>
      <c r="V83" s="56"/>
      <c r="W83" s="9">
        <v>9894370.290000008</v>
      </c>
      <c r="X83" s="14">
        <v>0.21212978383125242</v>
      </c>
      <c r="Y83" s="10">
        <v>1473</v>
      </c>
      <c r="Z83" s="14">
        <v>0.20846306255307104</v>
      </c>
      <c r="AA83" s="56"/>
      <c r="AB83" s="55"/>
      <c r="AC83" s="56"/>
      <c r="AD83" s="9">
        <v>10662289.869999986</v>
      </c>
      <c r="AE83" s="14">
        <v>0.2128556371040164</v>
      </c>
      <c r="AF83" s="10">
        <v>1643</v>
      </c>
      <c r="AG83" s="14">
        <v>0.20718789407313998</v>
      </c>
      <c r="AH83" s="56"/>
      <c r="AI83" s="55"/>
      <c r="AJ83" s="56"/>
      <c r="AK83" s="9">
        <v>12182486.870000005</v>
      </c>
      <c r="AL83" s="14">
        <v>0.21731585277014975</v>
      </c>
      <c r="AM83" s="10">
        <v>1905</v>
      </c>
      <c r="AN83" s="14">
        <v>0.2108233731739708</v>
      </c>
      <c r="AO83" s="56"/>
      <c r="AP83" s="55"/>
      <c r="AQ83" s="56"/>
      <c r="AR83" s="9">
        <v>14786885.840000004</v>
      </c>
      <c r="AS83" s="14">
        <v>0.21881105678110324</v>
      </c>
      <c r="AT83" s="10">
        <v>2337</v>
      </c>
      <c r="AU83" s="14">
        <v>0.2113019891500904</v>
      </c>
      <c r="AV83" s="56"/>
      <c r="AW83" s="55"/>
      <c r="AX83" s="56"/>
      <c r="AY83" s="9">
        <v>14212084.870000022</v>
      </c>
      <c r="AZ83" s="14">
        <v>0.19523223789513117</v>
      </c>
      <c r="BA83" s="10">
        <v>2377</v>
      </c>
      <c r="BB83" s="14">
        <v>0.19550912979108406</v>
      </c>
      <c r="BC83" s="56"/>
      <c r="BD83" s="55"/>
      <c r="BE83" s="9">
        <v>12379487.049999945</v>
      </c>
      <c r="BF83" s="14">
        <v>0.19179267967840793</v>
      </c>
      <c r="BG83" s="10">
        <v>2185</v>
      </c>
      <c r="BH83" s="14">
        <v>0.19716657643024724</v>
      </c>
      <c r="BI83" s="56"/>
      <c r="BJ83" s="55"/>
      <c r="BK83" s="56"/>
      <c r="BL83" s="9">
        <v>10546755.100000015</v>
      </c>
      <c r="BM83" s="14">
        <v>0.1885914850862368</v>
      </c>
      <c r="BN83" s="10">
        <v>1999</v>
      </c>
      <c r="BO83" s="14">
        <v>0.19609574259368256</v>
      </c>
      <c r="BP83" s="56"/>
      <c r="BQ83" s="55"/>
      <c r="BR83" s="56"/>
      <c r="BS83" s="9">
        <v>9953409.479999974</v>
      </c>
      <c r="BT83" s="14">
        <v>0.18536153070872136</v>
      </c>
      <c r="BU83" s="10">
        <v>1989</v>
      </c>
      <c r="BV83" s="14">
        <v>0.19728228526086095</v>
      </c>
      <c r="BW83" s="56"/>
      <c r="BX83" s="55"/>
      <c r="BY83" s="56"/>
      <c r="BZ83" s="9">
        <v>9610528.520000044</v>
      </c>
      <c r="CA83" s="14">
        <v>0.18138309609641393</v>
      </c>
      <c r="CB83" s="10">
        <v>1946</v>
      </c>
      <c r="CC83" s="14">
        <v>0.19696356275303645</v>
      </c>
      <c r="CD83" s="56"/>
      <c r="CE83" s="55"/>
      <c r="CF83" s="56"/>
      <c r="CG83" s="9">
        <v>9167978.180000009</v>
      </c>
      <c r="CH83" s="14">
        <v>0.17805303673184267</v>
      </c>
      <c r="CI83" s="10">
        <v>1839</v>
      </c>
      <c r="CJ83" s="14">
        <v>0.19540962703219636</v>
      </c>
      <c r="CK83" s="56"/>
      <c r="CL83" s="55"/>
      <c r="CM83" s="56"/>
      <c r="CN83" s="9">
        <v>8487189.199999996</v>
      </c>
      <c r="CO83" s="14">
        <v>0.18593799747663922</v>
      </c>
      <c r="CP83" s="10">
        <v>1696</v>
      </c>
      <c r="CQ83" s="14">
        <v>0.200307074524625</v>
      </c>
      <c r="CR83" s="56"/>
      <c r="CS83" s="55"/>
      <c r="CT83" s="56"/>
      <c r="CU83" s="9">
        <v>17686496.24000005</v>
      </c>
      <c r="CV83" s="14">
        <v>0.24693024278494802</v>
      </c>
      <c r="CW83" s="10">
        <v>3749</v>
      </c>
      <c r="CX83" s="14">
        <v>0.27854966936622333</v>
      </c>
      <c r="CY83" s="56"/>
      <c r="CZ83" s="55"/>
      <c r="DA83" s="56"/>
    </row>
    <row r="84" spans="1:105" ht="12.75">
      <c r="A84" s="8" t="s">
        <v>67</v>
      </c>
      <c r="B84" s="8"/>
      <c r="C84" s="8"/>
      <c r="D84" s="9">
        <v>2936628.76</v>
      </c>
      <c r="E84" s="14">
        <f aca="true" t="shared" si="8" ref="E84:E93">+D84/$D$95</f>
        <v>0.11119571666116834</v>
      </c>
      <c r="F84" s="10">
        <v>426</v>
      </c>
      <c r="G84" s="14">
        <f aca="true" t="shared" si="9" ref="G84:G93">+F84/$F$95</f>
        <v>0.11996620670233737</v>
      </c>
      <c r="H84" s="14"/>
      <c r="I84" s="9">
        <v>2731305.41</v>
      </c>
      <c r="J84" s="14">
        <f aca="true" t="shared" si="10" ref="J84:J93">+I84/$I$95</f>
        <v>0.11225435758085546</v>
      </c>
      <c r="K84" s="10">
        <v>418</v>
      </c>
      <c r="L84" s="14">
        <f aca="true" t="shared" si="11" ref="L84:L93">+K84/$K$95</f>
        <v>0.12137049941927991</v>
      </c>
      <c r="M84" s="56"/>
      <c r="N84" s="55"/>
      <c r="O84" s="56"/>
      <c r="P84" s="9">
        <v>4109233.33</v>
      </c>
      <c r="Q84" s="14">
        <v>0.10828733717410967</v>
      </c>
      <c r="R84" s="10">
        <v>651</v>
      </c>
      <c r="S84" s="14">
        <v>0.11571276217561323</v>
      </c>
      <c r="T84" s="56"/>
      <c r="U84" s="55"/>
      <c r="V84" s="56"/>
      <c r="W84" s="9">
        <v>5003576.93</v>
      </c>
      <c r="X84" s="14">
        <v>0.10727390035287832</v>
      </c>
      <c r="Y84" s="10">
        <v>826</v>
      </c>
      <c r="Z84" s="14">
        <v>0.11689782054910841</v>
      </c>
      <c r="AA84" s="56"/>
      <c r="AB84" s="55"/>
      <c r="AC84" s="56"/>
      <c r="AD84" s="9">
        <v>5217686.93</v>
      </c>
      <c r="AE84" s="14">
        <v>0.10416281016888652</v>
      </c>
      <c r="AF84" s="10">
        <v>891</v>
      </c>
      <c r="AG84" s="14">
        <v>0.11235813366960908</v>
      </c>
      <c r="AH84" s="56"/>
      <c r="AI84" s="55"/>
      <c r="AJ84" s="56"/>
      <c r="AK84" s="9">
        <v>5494104.330000001</v>
      </c>
      <c r="AL84" s="14">
        <v>0.09800593100759254</v>
      </c>
      <c r="AM84" s="10">
        <v>971</v>
      </c>
      <c r="AN84" s="14">
        <v>0.10745905267817618</v>
      </c>
      <c r="AO84" s="56"/>
      <c r="AP84" s="55"/>
      <c r="AQ84" s="56"/>
      <c r="AR84" s="9">
        <v>7114986.289999988</v>
      </c>
      <c r="AS84" s="14">
        <v>0.10528502660692471</v>
      </c>
      <c r="AT84" s="10">
        <v>1292</v>
      </c>
      <c r="AU84" s="14">
        <v>0.11681735985533453</v>
      </c>
      <c r="AV84" s="56"/>
      <c r="AW84" s="55"/>
      <c r="AX84" s="56"/>
      <c r="AY84" s="9">
        <v>6509064.4699999895</v>
      </c>
      <c r="AZ84" s="14">
        <v>0.08941539786074905</v>
      </c>
      <c r="BA84" s="10">
        <v>1253</v>
      </c>
      <c r="BB84" s="14">
        <v>0.10305971376871195</v>
      </c>
      <c r="BC84" s="56"/>
      <c r="BD84" s="55"/>
      <c r="BE84" s="9">
        <v>5587865.880000001</v>
      </c>
      <c r="BF84" s="14">
        <v>0.08657158139753052</v>
      </c>
      <c r="BG84" s="10">
        <v>1126</v>
      </c>
      <c r="BH84" s="14">
        <v>0.10160620826565601</v>
      </c>
      <c r="BI84" s="56"/>
      <c r="BJ84" s="55"/>
      <c r="BK84" s="56"/>
      <c r="BL84" s="9">
        <v>4788303.19</v>
      </c>
      <c r="BM84" s="14">
        <v>0.08562189991927133</v>
      </c>
      <c r="BN84" s="10">
        <v>1025</v>
      </c>
      <c r="BO84" s="14">
        <v>0.10054934275063764</v>
      </c>
      <c r="BP84" s="56"/>
      <c r="BQ84" s="55"/>
      <c r="BR84" s="56"/>
      <c r="BS84" s="9">
        <v>4488824.810000005</v>
      </c>
      <c r="BT84" s="14">
        <v>0.08359501731911952</v>
      </c>
      <c r="BU84" s="10">
        <v>982</v>
      </c>
      <c r="BV84" s="14">
        <v>0.09740130926403491</v>
      </c>
      <c r="BW84" s="56"/>
      <c r="BX84" s="55"/>
      <c r="BY84" s="56"/>
      <c r="BZ84" s="9">
        <v>4053066.6099999947</v>
      </c>
      <c r="CA84" s="14">
        <v>0.07649504071257804</v>
      </c>
      <c r="CB84" s="10">
        <v>903</v>
      </c>
      <c r="CC84" s="14">
        <v>0.09139676113360323</v>
      </c>
      <c r="CD84" s="56"/>
      <c r="CE84" s="55"/>
      <c r="CF84" s="56"/>
      <c r="CG84" s="9">
        <v>4034916.64</v>
      </c>
      <c r="CH84" s="14">
        <v>0.0783628785547396</v>
      </c>
      <c r="CI84" s="10">
        <v>868</v>
      </c>
      <c r="CJ84" s="14">
        <v>0.09223249389012857</v>
      </c>
      <c r="CK84" s="56"/>
      <c r="CL84" s="55"/>
      <c r="CM84" s="56"/>
      <c r="CN84" s="9">
        <v>3666008.33</v>
      </c>
      <c r="CO84" s="14">
        <v>0.08031519405893281</v>
      </c>
      <c r="CP84" s="10">
        <v>779</v>
      </c>
      <c r="CQ84" s="14">
        <v>0.09200425180111019</v>
      </c>
      <c r="CR84" s="56"/>
      <c r="CS84" s="55"/>
      <c r="CT84" s="56"/>
      <c r="CU84" s="9">
        <v>6625710.130000008</v>
      </c>
      <c r="CV84" s="14">
        <v>0.09250493646804897</v>
      </c>
      <c r="CW84" s="10">
        <v>1478</v>
      </c>
      <c r="CX84" s="14">
        <v>0.10981499368452337</v>
      </c>
      <c r="CY84" s="56"/>
      <c r="CZ84" s="55"/>
      <c r="DA84" s="56"/>
    </row>
    <row r="85" spans="1:105" ht="12.75">
      <c r="A85" s="8" t="s">
        <v>68</v>
      </c>
      <c r="B85" s="8"/>
      <c r="C85" s="8"/>
      <c r="D85" s="9">
        <v>3319827.71</v>
      </c>
      <c r="E85" s="14">
        <f t="shared" si="8"/>
        <v>0.12570557996069456</v>
      </c>
      <c r="F85" s="10">
        <v>418</v>
      </c>
      <c r="G85" s="14">
        <f t="shared" si="9"/>
        <v>0.11771332019149536</v>
      </c>
      <c r="H85" s="14"/>
      <c r="I85" s="9">
        <v>3034144.91</v>
      </c>
      <c r="J85" s="14">
        <f t="shared" si="10"/>
        <v>0.124700806593164</v>
      </c>
      <c r="K85" s="10">
        <v>401</v>
      </c>
      <c r="L85" s="14">
        <f t="shared" si="11"/>
        <v>0.11643437862950058</v>
      </c>
      <c r="M85" s="56"/>
      <c r="N85" s="55"/>
      <c r="O85" s="56"/>
      <c r="P85" s="9">
        <v>5051374.879999994</v>
      </c>
      <c r="Q85" s="14">
        <v>0.1331148394105397</v>
      </c>
      <c r="R85" s="10">
        <v>685</v>
      </c>
      <c r="S85" s="14">
        <v>0.12175613224315678</v>
      </c>
      <c r="T85" s="56"/>
      <c r="U85" s="55"/>
      <c r="V85" s="56"/>
      <c r="W85" s="9">
        <v>6052726.849999994</v>
      </c>
      <c r="X85" s="14">
        <v>0.12976708983468974</v>
      </c>
      <c r="Y85" s="10">
        <v>853</v>
      </c>
      <c r="Z85" s="14">
        <v>0.12071893574865554</v>
      </c>
      <c r="AA85" s="56"/>
      <c r="AB85" s="55"/>
      <c r="AC85" s="56"/>
      <c r="AD85" s="9">
        <v>6734938.459999983</v>
      </c>
      <c r="AE85" s="14">
        <v>0.1344523206776821</v>
      </c>
      <c r="AF85" s="10">
        <v>1003</v>
      </c>
      <c r="AG85" s="14">
        <v>0.12648171500630517</v>
      </c>
      <c r="AH85" s="56"/>
      <c r="AI85" s="55"/>
      <c r="AJ85" s="56"/>
      <c r="AK85" s="9">
        <v>6870273.779999998</v>
      </c>
      <c r="AL85" s="14">
        <v>0.12255456715834731</v>
      </c>
      <c r="AM85" s="10">
        <v>1073</v>
      </c>
      <c r="AN85" s="14">
        <v>0.11874723328906596</v>
      </c>
      <c r="AO85" s="56"/>
      <c r="AP85" s="55"/>
      <c r="AQ85" s="56"/>
      <c r="AR85" s="9">
        <v>8140443.009999987</v>
      </c>
      <c r="AS85" s="14">
        <v>0.12045936899479315</v>
      </c>
      <c r="AT85" s="10">
        <v>1311</v>
      </c>
      <c r="AU85" s="14">
        <v>0.11853526220614828</v>
      </c>
      <c r="AV85" s="56"/>
      <c r="AW85" s="55"/>
      <c r="AX85" s="56"/>
      <c r="AY85" s="9">
        <v>7372878.85</v>
      </c>
      <c r="AZ85" s="14">
        <v>0.10128166632705865</v>
      </c>
      <c r="BA85" s="10">
        <v>1250</v>
      </c>
      <c r="BB85" s="14">
        <v>0.10281296265833197</v>
      </c>
      <c r="BC85" s="56"/>
      <c r="BD85" s="55"/>
      <c r="BE85" s="9">
        <v>6289568.1</v>
      </c>
      <c r="BF85" s="14">
        <v>0.09744290010132836</v>
      </c>
      <c r="BG85" s="10">
        <v>1129</v>
      </c>
      <c r="BH85" s="14">
        <v>0.10187691752391265</v>
      </c>
      <c r="BI85" s="56"/>
      <c r="BJ85" s="55"/>
      <c r="BK85" s="56"/>
      <c r="BL85" s="9">
        <v>5328787.24</v>
      </c>
      <c r="BM85" s="14">
        <v>0.0952865492534464</v>
      </c>
      <c r="BN85" s="10">
        <v>1015</v>
      </c>
      <c r="BO85" s="14">
        <v>0.09956837355307044</v>
      </c>
      <c r="BP85" s="56"/>
      <c r="BQ85" s="55"/>
      <c r="BR85" s="56"/>
      <c r="BS85" s="9">
        <v>4813655.88</v>
      </c>
      <c r="BT85" s="14">
        <v>0.0896443197694946</v>
      </c>
      <c r="BU85" s="10">
        <v>976</v>
      </c>
      <c r="BV85" s="14">
        <v>0.09680618924816504</v>
      </c>
      <c r="BW85" s="56"/>
      <c r="BX85" s="55"/>
      <c r="BY85" s="56"/>
      <c r="BZ85" s="9">
        <v>4260567.21</v>
      </c>
      <c r="CA85" s="14">
        <v>0.0804112770768466</v>
      </c>
      <c r="CB85" s="10">
        <v>903</v>
      </c>
      <c r="CC85" s="14">
        <v>0.09139676113360323</v>
      </c>
      <c r="CD85" s="56"/>
      <c r="CE85" s="55"/>
      <c r="CF85" s="56"/>
      <c r="CG85" s="9">
        <v>3832863.22</v>
      </c>
      <c r="CH85" s="14">
        <v>0.07443876090232884</v>
      </c>
      <c r="CI85" s="10">
        <v>830</v>
      </c>
      <c r="CJ85" s="14">
        <v>0.0881946658165976</v>
      </c>
      <c r="CK85" s="56"/>
      <c r="CL85" s="55"/>
      <c r="CM85" s="56"/>
      <c r="CN85" s="9">
        <v>3235528.9</v>
      </c>
      <c r="CO85" s="14">
        <v>0.07088421740896196</v>
      </c>
      <c r="CP85" s="10">
        <v>722</v>
      </c>
      <c r="CQ85" s="14">
        <v>0.08527223337663871</v>
      </c>
      <c r="CR85" s="56"/>
      <c r="CS85" s="55"/>
      <c r="CT85" s="56"/>
      <c r="CU85" s="9">
        <v>2705372.93</v>
      </c>
      <c r="CV85" s="14">
        <v>0.037771098659884914</v>
      </c>
      <c r="CW85" s="10">
        <v>649</v>
      </c>
      <c r="CX85" s="14">
        <v>0.04822052158407014</v>
      </c>
      <c r="CY85" s="56"/>
      <c r="CZ85" s="55"/>
      <c r="DA85" s="56"/>
    </row>
    <row r="86" spans="1:105" ht="12.75">
      <c r="A86" s="8" t="s">
        <v>69</v>
      </c>
      <c r="B86" s="8"/>
      <c r="C86" s="8"/>
      <c r="D86" s="9">
        <v>1997840.66</v>
      </c>
      <c r="E86" s="14">
        <f t="shared" si="8"/>
        <v>0.07564841936762942</v>
      </c>
      <c r="F86" s="10">
        <v>258</v>
      </c>
      <c r="G86" s="14">
        <f t="shared" si="9"/>
        <v>0.07265558997465503</v>
      </c>
      <c r="H86" s="14"/>
      <c r="I86" s="9">
        <v>1851047.41</v>
      </c>
      <c r="J86" s="14">
        <f t="shared" si="10"/>
        <v>0.07607649335020954</v>
      </c>
      <c r="K86" s="10">
        <v>252</v>
      </c>
      <c r="L86" s="14">
        <f t="shared" si="11"/>
        <v>0.07317073170731707</v>
      </c>
      <c r="M86" s="56"/>
      <c r="N86" s="55"/>
      <c r="O86" s="56"/>
      <c r="P86" s="9">
        <v>2941608.31</v>
      </c>
      <c r="Q86" s="14">
        <v>0.07751784951552826</v>
      </c>
      <c r="R86" s="10">
        <v>407</v>
      </c>
      <c r="S86" s="14">
        <v>0.07234269463206541</v>
      </c>
      <c r="T86" s="56"/>
      <c r="U86" s="55"/>
      <c r="V86" s="56"/>
      <c r="W86" s="9">
        <v>3383043.98</v>
      </c>
      <c r="X86" s="14">
        <v>0.07253057720048393</v>
      </c>
      <c r="Y86" s="10">
        <v>482</v>
      </c>
      <c r="Z86" s="14">
        <v>0.06821398245117465</v>
      </c>
      <c r="AA86" s="56"/>
      <c r="AB86" s="55"/>
      <c r="AC86" s="56"/>
      <c r="AD86" s="9">
        <v>3729844.75</v>
      </c>
      <c r="AE86" s="14">
        <v>0.07446041049719863</v>
      </c>
      <c r="AF86" s="10">
        <v>561</v>
      </c>
      <c r="AG86" s="14">
        <v>0.07074401008827239</v>
      </c>
      <c r="AH86" s="56"/>
      <c r="AI86" s="55"/>
      <c r="AJ86" s="56"/>
      <c r="AK86" s="9">
        <v>3612104.06</v>
      </c>
      <c r="AL86" s="14">
        <v>0.06443409153400706</v>
      </c>
      <c r="AM86" s="10">
        <v>577</v>
      </c>
      <c r="AN86" s="14">
        <v>0.06385568835768039</v>
      </c>
      <c r="AO86" s="56"/>
      <c r="AP86" s="55"/>
      <c r="AQ86" s="56"/>
      <c r="AR86" s="9">
        <v>4028239.55</v>
      </c>
      <c r="AS86" s="14">
        <v>0.05960845051759291</v>
      </c>
      <c r="AT86" s="10">
        <v>671</v>
      </c>
      <c r="AU86" s="14">
        <v>0.060669077757685354</v>
      </c>
      <c r="AV86" s="56"/>
      <c r="AW86" s="55"/>
      <c r="AX86" s="56"/>
      <c r="AY86" s="9">
        <v>3736418.52</v>
      </c>
      <c r="AZ86" s="14">
        <v>0.051327398903466645</v>
      </c>
      <c r="BA86" s="10">
        <v>663</v>
      </c>
      <c r="BB86" s="14">
        <v>0.05453199539397927</v>
      </c>
      <c r="BC86" s="56"/>
      <c r="BD86" s="55"/>
      <c r="BE86" s="9">
        <v>3267236.68</v>
      </c>
      <c r="BF86" s="14">
        <v>0.05061858180955794</v>
      </c>
      <c r="BG86" s="10">
        <v>612</v>
      </c>
      <c r="BH86" s="14">
        <v>0.055224688684353006</v>
      </c>
      <c r="BI86" s="56"/>
      <c r="BJ86" s="55"/>
      <c r="BK86" s="56"/>
      <c r="BL86" s="9">
        <v>2857940.71</v>
      </c>
      <c r="BM86" s="14">
        <v>0.05110418111323297</v>
      </c>
      <c r="BN86" s="10">
        <v>574</v>
      </c>
      <c r="BO86" s="14">
        <v>0.056307631940357074</v>
      </c>
      <c r="BP86" s="56"/>
      <c r="BQ86" s="55"/>
      <c r="BR86" s="56"/>
      <c r="BS86" s="9">
        <v>2569797.53</v>
      </c>
      <c r="BT86" s="14">
        <v>0.0478571292308867</v>
      </c>
      <c r="BU86" s="10">
        <v>596</v>
      </c>
      <c r="BV86" s="14">
        <v>0.05911525490974013</v>
      </c>
      <c r="BW86" s="56"/>
      <c r="BX86" s="55"/>
      <c r="BY86" s="56"/>
      <c r="BZ86" s="9">
        <v>2254282.63</v>
      </c>
      <c r="CA86" s="14">
        <v>0.04254591847418656</v>
      </c>
      <c r="CB86" s="10">
        <v>576</v>
      </c>
      <c r="CC86" s="14">
        <v>0.058299595141700404</v>
      </c>
      <c r="CD86" s="56"/>
      <c r="CE86" s="55"/>
      <c r="CF86" s="56"/>
      <c r="CG86" s="9">
        <v>1944550.09</v>
      </c>
      <c r="CH86" s="14">
        <v>0.037765474764870924</v>
      </c>
      <c r="CI86" s="10">
        <v>524</v>
      </c>
      <c r="CJ86" s="14">
        <v>0.05567952396132186</v>
      </c>
      <c r="CK86" s="56"/>
      <c r="CL86" s="55"/>
      <c r="CM86" s="56"/>
      <c r="CN86" s="9">
        <v>1543047.72</v>
      </c>
      <c r="CO86" s="14">
        <v>0.03380520880431108</v>
      </c>
      <c r="CP86" s="10">
        <v>459</v>
      </c>
      <c r="CQ86" s="14">
        <v>0.05421046415495453</v>
      </c>
      <c r="CR86" s="56"/>
      <c r="CS86" s="55"/>
      <c r="CT86" s="56"/>
      <c r="CU86" s="9">
        <v>1315229.4</v>
      </c>
      <c r="CV86" s="14">
        <v>0.01836259203930946</v>
      </c>
      <c r="CW86" s="10">
        <v>422</v>
      </c>
      <c r="CX86" s="14">
        <v>0.031354483988409246</v>
      </c>
      <c r="CY86" s="56"/>
      <c r="CZ86" s="55"/>
      <c r="DA86" s="56"/>
    </row>
    <row r="87" spans="1:105" ht="12.75">
      <c r="A87" s="8" t="s">
        <v>70</v>
      </c>
      <c r="B87" s="8"/>
      <c r="C87" s="8"/>
      <c r="D87" s="9">
        <v>2899750.83</v>
      </c>
      <c r="E87" s="14">
        <f t="shared" si="8"/>
        <v>0.10979933046786199</v>
      </c>
      <c r="F87" s="10">
        <v>472</v>
      </c>
      <c r="G87" s="14">
        <f t="shared" si="9"/>
        <v>0.13292030413967895</v>
      </c>
      <c r="H87" s="14"/>
      <c r="I87" s="9">
        <v>2679042.8</v>
      </c>
      <c r="J87" s="14">
        <f t="shared" si="10"/>
        <v>0.11010640821951002</v>
      </c>
      <c r="K87" s="10">
        <v>461</v>
      </c>
      <c r="L87" s="14">
        <f t="shared" si="11"/>
        <v>0.13385598141695704</v>
      </c>
      <c r="M87" s="56"/>
      <c r="N87" s="55"/>
      <c r="O87" s="56"/>
      <c r="P87" s="9">
        <v>4318752.69</v>
      </c>
      <c r="Q87" s="14">
        <v>0.11380863318209862</v>
      </c>
      <c r="R87" s="10">
        <v>748</v>
      </c>
      <c r="S87" s="14">
        <v>0.13295414148595805</v>
      </c>
      <c r="T87" s="56"/>
      <c r="U87" s="55"/>
      <c r="V87" s="56"/>
      <c r="W87" s="9">
        <v>4996361.99</v>
      </c>
      <c r="X87" s="14">
        <v>0.10711921606093287</v>
      </c>
      <c r="Y87" s="10">
        <v>891</v>
      </c>
      <c r="Z87" s="14">
        <v>0.1260968015850552</v>
      </c>
      <c r="AA87" s="56"/>
      <c r="AB87" s="55"/>
      <c r="AC87" s="56"/>
      <c r="AD87" s="9">
        <v>5218267.9</v>
      </c>
      <c r="AE87" s="14">
        <v>0.10417440830971703</v>
      </c>
      <c r="AF87" s="10">
        <v>960</v>
      </c>
      <c r="AG87" s="14">
        <v>0.1210592686002522</v>
      </c>
      <c r="AH87" s="56"/>
      <c r="AI87" s="55"/>
      <c r="AJ87" s="56"/>
      <c r="AK87" s="9">
        <v>5147920.58</v>
      </c>
      <c r="AL87" s="14">
        <v>0.09183057308197241</v>
      </c>
      <c r="AM87" s="10">
        <v>973</v>
      </c>
      <c r="AN87" s="14">
        <v>0.10768038955289952</v>
      </c>
      <c r="AO87" s="56"/>
      <c r="AP87" s="55"/>
      <c r="AQ87" s="56"/>
      <c r="AR87" s="9">
        <v>5476153.279999993</v>
      </c>
      <c r="AS87" s="14">
        <v>0.08103416089483402</v>
      </c>
      <c r="AT87" s="10">
        <v>1093</v>
      </c>
      <c r="AU87" s="14">
        <v>0.09882459312839059</v>
      </c>
      <c r="AV87" s="56"/>
      <c r="AW87" s="55"/>
      <c r="AX87" s="56"/>
      <c r="AY87" s="9">
        <v>5449567.420000002</v>
      </c>
      <c r="AZ87" s="14">
        <v>0.07486102515562834</v>
      </c>
      <c r="BA87" s="10">
        <v>1135</v>
      </c>
      <c r="BB87" s="14">
        <v>0.09335417009376543</v>
      </c>
      <c r="BC87" s="56"/>
      <c r="BD87" s="55"/>
      <c r="BE87" s="9">
        <v>4591729.23</v>
      </c>
      <c r="BF87" s="14">
        <v>0.07113865460034367</v>
      </c>
      <c r="BG87" s="10">
        <v>1010</v>
      </c>
      <c r="BH87" s="14">
        <v>0.09113878361306624</v>
      </c>
      <c r="BI87" s="56"/>
      <c r="BJ87" s="55"/>
      <c r="BK87" s="56"/>
      <c r="BL87" s="9">
        <v>3860757.86</v>
      </c>
      <c r="BM87" s="14">
        <v>0.06903602591244015</v>
      </c>
      <c r="BN87" s="10">
        <v>898</v>
      </c>
      <c r="BO87" s="14">
        <v>0.08809103394153424</v>
      </c>
      <c r="BP87" s="56"/>
      <c r="BQ87" s="55"/>
      <c r="BR87" s="56"/>
      <c r="BS87" s="9">
        <v>3366003.6</v>
      </c>
      <c r="BT87" s="14">
        <v>0.06268480975496536</v>
      </c>
      <c r="BU87" s="10">
        <v>821</v>
      </c>
      <c r="BV87" s="14">
        <v>0.08143225550486015</v>
      </c>
      <c r="BW87" s="56"/>
      <c r="BX87" s="55"/>
      <c r="BY87" s="56"/>
      <c r="BZ87" s="9">
        <v>2881661.62</v>
      </c>
      <c r="CA87" s="14">
        <v>0.05438667659640906</v>
      </c>
      <c r="CB87" s="10">
        <v>734</v>
      </c>
      <c r="CC87" s="14">
        <v>0.0742914979757085</v>
      </c>
      <c r="CD87" s="56"/>
      <c r="CE87" s="55"/>
      <c r="CF87" s="56"/>
      <c r="CG87" s="9">
        <v>2515995.76</v>
      </c>
      <c r="CH87" s="14">
        <v>0.0488636291096016</v>
      </c>
      <c r="CI87" s="10">
        <v>674</v>
      </c>
      <c r="CJ87" s="14">
        <v>0.0716183189884178</v>
      </c>
      <c r="CK87" s="56"/>
      <c r="CL87" s="55"/>
      <c r="CM87" s="56"/>
      <c r="CN87" s="9">
        <v>2145071.71</v>
      </c>
      <c r="CO87" s="14">
        <v>0.04699439694371257</v>
      </c>
      <c r="CP87" s="10">
        <v>580</v>
      </c>
      <c r="CQ87" s="14">
        <v>0.06850124010865714</v>
      </c>
      <c r="CR87" s="56"/>
      <c r="CS87" s="55"/>
      <c r="CT87" s="56"/>
      <c r="CU87" s="9">
        <v>1755663.86</v>
      </c>
      <c r="CV87" s="14">
        <v>0.024511723368820185</v>
      </c>
      <c r="CW87" s="10">
        <v>493</v>
      </c>
      <c r="CX87" s="14">
        <v>0.03662976446987146</v>
      </c>
      <c r="CY87" s="56"/>
      <c r="CZ87" s="55"/>
      <c r="DA87" s="56"/>
    </row>
    <row r="88" spans="1:105" ht="12.75">
      <c r="A88" s="8" t="s">
        <v>71</v>
      </c>
      <c r="B88" s="8"/>
      <c r="C88" s="8"/>
      <c r="D88" s="9">
        <v>1440158.54</v>
      </c>
      <c r="E88" s="14">
        <f t="shared" si="8"/>
        <v>0.05453173487308688</v>
      </c>
      <c r="F88" s="10">
        <v>214</v>
      </c>
      <c r="G88" s="14">
        <f t="shared" si="9"/>
        <v>0.060264714165023936</v>
      </c>
      <c r="H88" s="14"/>
      <c r="I88" s="9">
        <v>1305490</v>
      </c>
      <c r="J88" s="14">
        <f t="shared" si="10"/>
        <v>0.05365454216203196</v>
      </c>
      <c r="K88" s="10">
        <v>200</v>
      </c>
      <c r="L88" s="14">
        <f t="shared" si="11"/>
        <v>0.05807200929152149</v>
      </c>
      <c r="M88" s="56"/>
      <c r="N88" s="55"/>
      <c r="O88" s="56"/>
      <c r="P88" s="9">
        <v>2092588.45</v>
      </c>
      <c r="Q88" s="14">
        <v>0.0551443086469362</v>
      </c>
      <c r="R88" s="10">
        <v>318</v>
      </c>
      <c r="S88" s="14">
        <v>0.056523284749377886</v>
      </c>
      <c r="T88" s="56"/>
      <c r="U88" s="55"/>
      <c r="V88" s="56"/>
      <c r="W88" s="9">
        <v>2363930.1</v>
      </c>
      <c r="X88" s="14">
        <v>0.050681343673988445</v>
      </c>
      <c r="Y88" s="10">
        <v>374</v>
      </c>
      <c r="Z88" s="14">
        <v>0.05292952165298613</v>
      </c>
      <c r="AA88" s="56"/>
      <c r="AB88" s="55"/>
      <c r="AC88" s="56"/>
      <c r="AD88" s="9">
        <v>2518134.09</v>
      </c>
      <c r="AE88" s="14">
        <v>0.05027053687110958</v>
      </c>
      <c r="AF88" s="10">
        <v>410</v>
      </c>
      <c r="AG88" s="14">
        <v>0.05170239596469105</v>
      </c>
      <c r="AH88" s="56"/>
      <c r="AI88" s="55"/>
      <c r="AJ88" s="56"/>
      <c r="AK88" s="9">
        <v>2446828.45</v>
      </c>
      <c r="AL88" s="14">
        <v>0.04364746023272445</v>
      </c>
      <c r="AM88" s="10">
        <v>414</v>
      </c>
      <c r="AN88" s="14">
        <v>0.045816733067729085</v>
      </c>
      <c r="AO88" s="56"/>
      <c r="AP88" s="55"/>
      <c r="AQ88" s="56"/>
      <c r="AR88" s="9">
        <v>2515908.4</v>
      </c>
      <c r="AS88" s="14">
        <v>0.03722951416039703</v>
      </c>
      <c r="AT88" s="10">
        <v>440</v>
      </c>
      <c r="AU88" s="14">
        <v>0.039783001808318265</v>
      </c>
      <c r="AV88" s="56"/>
      <c r="AW88" s="55"/>
      <c r="AX88" s="56"/>
      <c r="AY88" s="9">
        <v>2822596.28</v>
      </c>
      <c r="AZ88" s="14">
        <v>0.03877416955073892</v>
      </c>
      <c r="BA88" s="10">
        <v>506</v>
      </c>
      <c r="BB88" s="14">
        <v>0.04161868728409278</v>
      </c>
      <c r="BC88" s="56"/>
      <c r="BD88" s="55"/>
      <c r="BE88" s="9">
        <v>2364637.54</v>
      </c>
      <c r="BF88" s="14">
        <v>0.03663481115437334</v>
      </c>
      <c r="BG88" s="10">
        <v>453</v>
      </c>
      <c r="BH88" s="14">
        <v>0.04087709799675149</v>
      </c>
      <c r="BI88" s="56"/>
      <c r="BJ88" s="55"/>
      <c r="BK88" s="56"/>
      <c r="BL88" s="9">
        <v>2002439.64</v>
      </c>
      <c r="BM88" s="14">
        <v>0.03580656438141329</v>
      </c>
      <c r="BN88" s="10">
        <v>406</v>
      </c>
      <c r="BO88" s="14">
        <v>0.039827349421228175</v>
      </c>
      <c r="BP88" s="56"/>
      <c r="BQ88" s="55"/>
      <c r="BR88" s="56"/>
      <c r="BS88" s="9">
        <v>1726330.25</v>
      </c>
      <c r="BT88" s="14">
        <v>0.032149307058225295</v>
      </c>
      <c r="BU88" s="10">
        <v>378</v>
      </c>
      <c r="BV88" s="14">
        <v>0.037492560999801625</v>
      </c>
      <c r="BW88" s="56"/>
      <c r="BX88" s="55"/>
      <c r="BY88" s="56"/>
      <c r="BZ88" s="9">
        <v>1421325.3</v>
      </c>
      <c r="CA88" s="14">
        <v>0.026825203519000952</v>
      </c>
      <c r="CB88" s="10">
        <v>335</v>
      </c>
      <c r="CC88" s="14">
        <v>0.03390688259109312</v>
      </c>
      <c r="CD88" s="56"/>
      <c r="CE88" s="55"/>
      <c r="CF88" s="56"/>
      <c r="CG88" s="9">
        <v>1140170.83</v>
      </c>
      <c r="CH88" s="14">
        <v>0.022143473150648962</v>
      </c>
      <c r="CI88" s="10">
        <v>294</v>
      </c>
      <c r="CJ88" s="14">
        <v>0.031240038253108064</v>
      </c>
      <c r="CK88" s="56"/>
      <c r="CL88" s="55"/>
      <c r="CM88" s="56"/>
      <c r="CN88" s="9">
        <v>951758.71</v>
      </c>
      <c r="CO88" s="14">
        <v>0.020851203437098995</v>
      </c>
      <c r="CP88" s="10">
        <v>259</v>
      </c>
      <c r="CQ88" s="14">
        <v>0.03058934687610724</v>
      </c>
      <c r="CR88" s="56"/>
      <c r="CS88" s="55"/>
      <c r="CT88" s="56"/>
      <c r="CU88" s="9">
        <v>781545.23</v>
      </c>
      <c r="CV88" s="14">
        <v>0.0109115536945557</v>
      </c>
      <c r="CW88" s="10">
        <v>230</v>
      </c>
      <c r="CX88" s="14">
        <v>0.017088936770933948</v>
      </c>
      <c r="CY88" s="56"/>
      <c r="CZ88" s="55"/>
      <c r="DA88" s="56"/>
    </row>
    <row r="89" spans="1:105" ht="12.75">
      <c r="A89" s="8" t="s">
        <v>72</v>
      </c>
      <c r="B89" s="8"/>
      <c r="C89" s="8"/>
      <c r="D89" s="9">
        <v>997673.67</v>
      </c>
      <c r="E89" s="14">
        <f t="shared" si="8"/>
        <v>0.037777004788861354</v>
      </c>
      <c r="F89" s="10">
        <v>152</v>
      </c>
      <c r="G89" s="14">
        <f t="shared" si="9"/>
        <v>0.04280484370599831</v>
      </c>
      <c r="H89" s="14"/>
      <c r="I89" s="9">
        <v>922264.7</v>
      </c>
      <c r="J89" s="14">
        <f t="shared" si="10"/>
        <v>0.037904304307734074</v>
      </c>
      <c r="K89" s="10">
        <v>151</v>
      </c>
      <c r="L89" s="14">
        <f t="shared" si="11"/>
        <v>0.04384436701509872</v>
      </c>
      <c r="M89" s="56"/>
      <c r="N89" s="55"/>
      <c r="O89" s="56"/>
      <c r="P89" s="9">
        <v>1247698.35</v>
      </c>
      <c r="Q89" s="14">
        <v>0.03287959603842459</v>
      </c>
      <c r="R89" s="10">
        <v>216</v>
      </c>
      <c r="S89" s="14">
        <v>0.03839317454674725</v>
      </c>
      <c r="T89" s="56"/>
      <c r="U89" s="55"/>
      <c r="V89" s="56"/>
      <c r="W89" s="9">
        <v>1443033.1</v>
      </c>
      <c r="X89" s="14">
        <v>0.030937825307965294</v>
      </c>
      <c r="Y89" s="10">
        <v>263</v>
      </c>
      <c r="Z89" s="14">
        <v>0.037220492499292386</v>
      </c>
      <c r="AA89" s="56"/>
      <c r="AB89" s="55"/>
      <c r="AC89" s="56"/>
      <c r="AD89" s="9">
        <v>1467884.14</v>
      </c>
      <c r="AE89" s="14">
        <v>0.029303969187116245</v>
      </c>
      <c r="AF89" s="10">
        <v>282</v>
      </c>
      <c r="AG89" s="14">
        <v>0.03556116015132409</v>
      </c>
      <c r="AH89" s="56"/>
      <c r="AI89" s="55"/>
      <c r="AJ89" s="56"/>
      <c r="AK89" s="9">
        <v>1425602.53</v>
      </c>
      <c r="AL89" s="14">
        <v>0.025430442308224107</v>
      </c>
      <c r="AM89" s="10">
        <v>287</v>
      </c>
      <c r="AN89" s="14">
        <v>0.0317618415227977</v>
      </c>
      <c r="AO89" s="56"/>
      <c r="AP89" s="55"/>
      <c r="AQ89" s="56"/>
      <c r="AR89" s="9">
        <v>1454535.49</v>
      </c>
      <c r="AS89" s="14">
        <v>0.02152369681732255</v>
      </c>
      <c r="AT89" s="10">
        <v>309</v>
      </c>
      <c r="AU89" s="14">
        <v>0.027938517179023507</v>
      </c>
      <c r="AV89" s="56"/>
      <c r="AW89" s="55"/>
      <c r="AX89" s="56"/>
      <c r="AY89" s="9">
        <v>1497063.13</v>
      </c>
      <c r="AZ89" s="14">
        <v>0.020565243439908426</v>
      </c>
      <c r="BA89" s="10">
        <v>333</v>
      </c>
      <c r="BB89" s="14">
        <v>0.027389373252179636</v>
      </c>
      <c r="BC89" s="56"/>
      <c r="BD89" s="55"/>
      <c r="BE89" s="9">
        <v>1337570.68</v>
      </c>
      <c r="BF89" s="14">
        <v>0.020722689392568272</v>
      </c>
      <c r="BG89" s="10">
        <v>307</v>
      </c>
      <c r="BH89" s="14">
        <v>0.02770258076159538</v>
      </c>
      <c r="BI89" s="56"/>
      <c r="BJ89" s="55"/>
      <c r="BK89" s="56"/>
      <c r="BL89" s="9">
        <v>1075900.46</v>
      </c>
      <c r="BM89" s="14">
        <v>0.019238681815638727</v>
      </c>
      <c r="BN89" s="10">
        <v>265</v>
      </c>
      <c r="BO89" s="14">
        <v>0.025995683735530704</v>
      </c>
      <c r="BP89" s="56"/>
      <c r="BQ89" s="55"/>
      <c r="BR89" s="56"/>
      <c r="BS89" s="9">
        <v>883921.49</v>
      </c>
      <c r="BT89" s="14">
        <v>0.01646119761695308</v>
      </c>
      <c r="BU89" s="10">
        <v>232</v>
      </c>
      <c r="BV89" s="14">
        <v>0.023011307280301527</v>
      </c>
      <c r="BW89" s="56"/>
      <c r="BX89" s="55"/>
      <c r="BY89" s="56"/>
      <c r="BZ89" s="9">
        <v>737562.82</v>
      </c>
      <c r="CA89" s="14">
        <v>0.013920298720179181</v>
      </c>
      <c r="CB89" s="10">
        <v>207</v>
      </c>
      <c r="CC89" s="14">
        <v>0.020951417004048584</v>
      </c>
      <c r="CD89" s="56"/>
      <c r="CE89" s="55"/>
      <c r="CF89" s="56"/>
      <c r="CG89" s="9">
        <v>578463.94</v>
      </c>
      <c r="CH89" s="14">
        <v>0.01123445749266239</v>
      </c>
      <c r="CI89" s="10">
        <v>171</v>
      </c>
      <c r="CJ89" s="14">
        <v>0.018170226330889386</v>
      </c>
      <c r="CK89" s="56"/>
      <c r="CL89" s="55"/>
      <c r="CM89" s="56"/>
      <c r="CN89" s="9">
        <v>490127.79</v>
      </c>
      <c r="CO89" s="14">
        <v>0.010737757534644194</v>
      </c>
      <c r="CP89" s="10">
        <v>149</v>
      </c>
      <c r="CQ89" s="14">
        <v>0.01759773237274123</v>
      </c>
      <c r="CR89" s="56"/>
      <c r="CS89" s="55"/>
      <c r="CT89" s="56"/>
      <c r="CU89" s="9">
        <v>396958.67</v>
      </c>
      <c r="CV89" s="14">
        <v>0.005542143533042119</v>
      </c>
      <c r="CW89" s="10">
        <v>128</v>
      </c>
      <c r="CX89" s="14">
        <v>0.009510364811650197</v>
      </c>
      <c r="CY89" s="56"/>
      <c r="CZ89" s="55"/>
      <c r="DA89" s="56"/>
    </row>
    <row r="90" spans="1:105" ht="12.75">
      <c r="A90" s="8" t="s">
        <v>73</v>
      </c>
      <c r="B90" s="8"/>
      <c r="C90" s="8"/>
      <c r="D90" s="9">
        <v>1527790.68</v>
      </c>
      <c r="E90" s="14">
        <f t="shared" si="8"/>
        <v>0.05784993387140079</v>
      </c>
      <c r="F90" s="10">
        <v>247</v>
      </c>
      <c r="G90" s="14">
        <f t="shared" si="9"/>
        <v>0.06955787102224725</v>
      </c>
      <c r="H90" s="14"/>
      <c r="I90" s="9">
        <v>1388823.93</v>
      </c>
      <c r="J90" s="14">
        <f t="shared" si="10"/>
        <v>0.0570794966700809</v>
      </c>
      <c r="K90" s="10">
        <v>231</v>
      </c>
      <c r="L90" s="14">
        <f t="shared" si="11"/>
        <v>0.06707317073170732</v>
      </c>
      <c r="M90" s="56"/>
      <c r="N90" s="55"/>
      <c r="O90" s="56"/>
      <c r="P90" s="9">
        <v>1996272.9</v>
      </c>
      <c r="Q90" s="14">
        <v>0.05260618204268233</v>
      </c>
      <c r="R90" s="10">
        <v>353</v>
      </c>
      <c r="S90" s="14">
        <v>0.0627444009953786</v>
      </c>
      <c r="T90" s="56"/>
      <c r="U90" s="55"/>
      <c r="V90" s="56"/>
      <c r="W90" s="9">
        <v>2131614.53</v>
      </c>
      <c r="X90" s="14">
        <v>0.045700627347398</v>
      </c>
      <c r="Y90" s="10">
        <v>398</v>
      </c>
      <c r="Z90" s="14">
        <v>0.05632606849702802</v>
      </c>
      <c r="AA90" s="56"/>
      <c r="AB90" s="55"/>
      <c r="AC90" s="56"/>
      <c r="AD90" s="9">
        <v>2261292.56</v>
      </c>
      <c r="AE90" s="14">
        <v>0.04514310475573037</v>
      </c>
      <c r="AF90" s="10">
        <v>433</v>
      </c>
      <c r="AG90" s="14">
        <v>0.054602774274905425</v>
      </c>
      <c r="AH90" s="56"/>
      <c r="AI90" s="55"/>
      <c r="AJ90" s="56"/>
      <c r="AK90" s="9">
        <v>2533513.46</v>
      </c>
      <c r="AL90" s="14">
        <v>0.045193780542490604</v>
      </c>
      <c r="AM90" s="10">
        <v>495</v>
      </c>
      <c r="AN90" s="14">
        <v>0.054780876494023904</v>
      </c>
      <c r="AO90" s="56"/>
      <c r="AP90" s="55"/>
      <c r="AQ90" s="56"/>
      <c r="AR90" s="9">
        <v>2540117.46</v>
      </c>
      <c r="AS90" s="14">
        <v>0.037587751186069336</v>
      </c>
      <c r="AT90" s="10">
        <v>521</v>
      </c>
      <c r="AU90" s="14">
        <v>0.04710669077757686</v>
      </c>
      <c r="AV90" s="56"/>
      <c r="AW90" s="55"/>
      <c r="AX90" s="56"/>
      <c r="AY90" s="9">
        <v>2676004.45</v>
      </c>
      <c r="AZ90" s="14">
        <v>0.03676042904117762</v>
      </c>
      <c r="BA90" s="10">
        <v>558</v>
      </c>
      <c r="BB90" s="14">
        <v>0.04589570653067939</v>
      </c>
      <c r="BC90" s="56"/>
      <c r="BD90" s="55"/>
      <c r="BE90" s="9">
        <v>2435158.31</v>
      </c>
      <c r="BF90" s="14">
        <v>0.03772737398808826</v>
      </c>
      <c r="BG90" s="10">
        <v>538</v>
      </c>
      <c r="BH90" s="14">
        <v>0.048547193647356074</v>
      </c>
      <c r="BI90" s="56"/>
      <c r="BJ90" s="55"/>
      <c r="BK90" s="56"/>
      <c r="BL90" s="9">
        <v>2026931.26</v>
      </c>
      <c r="BM90" s="14">
        <v>0.03624451055008539</v>
      </c>
      <c r="BN90" s="10">
        <v>477</v>
      </c>
      <c r="BO90" s="14">
        <v>0.04679223072395527</v>
      </c>
      <c r="BP90" s="56"/>
      <c r="BQ90" s="55"/>
      <c r="BR90" s="56"/>
      <c r="BS90" s="9">
        <v>1684608.34</v>
      </c>
      <c r="BT90" s="14">
        <v>0.03137232334051216</v>
      </c>
      <c r="BU90" s="10">
        <v>429</v>
      </c>
      <c r="BV90" s="14">
        <v>0.042551081134695495</v>
      </c>
      <c r="BW90" s="56"/>
      <c r="BX90" s="55"/>
      <c r="BY90" s="56"/>
      <c r="BZ90" s="9">
        <v>1448406.4</v>
      </c>
      <c r="CA90" s="14">
        <v>0.027336315239180994</v>
      </c>
      <c r="CB90" s="10">
        <v>391</v>
      </c>
      <c r="CC90" s="14">
        <v>0.039574898785425104</v>
      </c>
      <c r="CD90" s="56"/>
      <c r="CE90" s="55"/>
      <c r="CF90" s="56"/>
      <c r="CG90" s="9">
        <v>1190323.04</v>
      </c>
      <c r="CH90" s="14">
        <v>0.02311748869846005</v>
      </c>
      <c r="CI90" s="10">
        <v>349</v>
      </c>
      <c r="CJ90" s="14">
        <v>0.03708426309637658</v>
      </c>
      <c r="CK90" s="56"/>
      <c r="CL90" s="55"/>
      <c r="CM90" s="56"/>
      <c r="CN90" s="9">
        <v>932430.05</v>
      </c>
      <c r="CO90" s="14">
        <v>0.020427749658749533</v>
      </c>
      <c r="CP90" s="10">
        <v>292</v>
      </c>
      <c r="CQ90" s="14">
        <v>0.03448683122711704</v>
      </c>
      <c r="CR90" s="56"/>
      <c r="CS90" s="55"/>
      <c r="CT90" s="56"/>
      <c r="CU90" s="9">
        <v>740419.34</v>
      </c>
      <c r="CV90" s="14">
        <v>0.010337374056901988</v>
      </c>
      <c r="CW90" s="10">
        <v>256</v>
      </c>
      <c r="CX90" s="14">
        <v>0.019020729623300394</v>
      </c>
      <c r="CY90" s="56"/>
      <c r="CZ90" s="55"/>
      <c r="DA90" s="56"/>
    </row>
    <row r="91" spans="1:105" ht="12.75">
      <c r="A91" s="8" t="s">
        <v>74</v>
      </c>
      <c r="B91" s="8"/>
      <c r="C91" s="8"/>
      <c r="D91" s="9">
        <v>349196.79</v>
      </c>
      <c r="E91" s="14">
        <f t="shared" si="8"/>
        <v>0.013222368400365834</v>
      </c>
      <c r="F91" s="10">
        <v>60</v>
      </c>
      <c r="G91" s="14">
        <f t="shared" si="9"/>
        <v>0.01689664883131512</v>
      </c>
      <c r="H91" s="14"/>
      <c r="I91" s="9">
        <v>325169.56</v>
      </c>
      <c r="J91" s="14">
        <f t="shared" si="10"/>
        <v>0.013364195717186176</v>
      </c>
      <c r="K91" s="10">
        <v>58</v>
      </c>
      <c r="L91" s="14">
        <f t="shared" si="11"/>
        <v>0.01684088269454123</v>
      </c>
      <c r="M91" s="56"/>
      <c r="N91" s="55"/>
      <c r="O91" s="56"/>
      <c r="P91" s="9">
        <v>477329.69</v>
      </c>
      <c r="Q91" s="14">
        <v>0.012578687295968964</v>
      </c>
      <c r="R91" s="10">
        <v>90</v>
      </c>
      <c r="S91" s="14">
        <v>0.015997156061144685</v>
      </c>
      <c r="T91" s="56"/>
      <c r="U91" s="55"/>
      <c r="V91" s="56"/>
      <c r="W91" s="9">
        <v>556611.14</v>
      </c>
      <c r="X91" s="14">
        <v>0.011933432582930639</v>
      </c>
      <c r="Y91" s="10">
        <v>106</v>
      </c>
      <c r="Z91" s="14">
        <v>0.015001415227851684</v>
      </c>
      <c r="AA91" s="56"/>
      <c r="AB91" s="55"/>
      <c r="AC91" s="56"/>
      <c r="AD91" s="9">
        <v>529157.1</v>
      </c>
      <c r="AE91" s="14">
        <v>0.010563778796290956</v>
      </c>
      <c r="AF91" s="10">
        <v>105</v>
      </c>
      <c r="AG91" s="14">
        <v>0.013240857503152586</v>
      </c>
      <c r="AH91" s="56"/>
      <c r="AI91" s="55"/>
      <c r="AJ91" s="56"/>
      <c r="AK91" s="9">
        <v>611452.12</v>
      </c>
      <c r="AL91" s="14">
        <v>0.01090731640459514</v>
      </c>
      <c r="AM91" s="10">
        <v>127</v>
      </c>
      <c r="AN91" s="14">
        <v>0.014054891544931386</v>
      </c>
      <c r="AO91" s="56"/>
      <c r="AP91" s="55"/>
      <c r="AQ91" s="56"/>
      <c r="AR91" s="9">
        <v>636498.09</v>
      </c>
      <c r="AS91" s="14">
        <v>0.009418671464637056</v>
      </c>
      <c r="AT91" s="10">
        <v>137</v>
      </c>
      <c r="AU91" s="14">
        <v>0.012386980108499096</v>
      </c>
      <c r="AV91" s="56"/>
      <c r="AW91" s="55"/>
      <c r="AX91" s="56"/>
      <c r="AY91" s="9">
        <v>605907.65</v>
      </c>
      <c r="AZ91" s="14">
        <v>0.008323388689929745</v>
      </c>
      <c r="BA91" s="10">
        <v>141</v>
      </c>
      <c r="BB91" s="14">
        <v>0.011597302187859846</v>
      </c>
      <c r="BC91" s="56"/>
      <c r="BD91" s="55"/>
      <c r="BE91" s="9">
        <v>540583.79</v>
      </c>
      <c r="BF91" s="14">
        <v>0.008375146179809626</v>
      </c>
      <c r="BG91" s="10">
        <v>132</v>
      </c>
      <c r="BH91" s="14">
        <v>0.011911207363291824</v>
      </c>
      <c r="BI91" s="56"/>
      <c r="BJ91" s="55"/>
      <c r="BK91" s="56"/>
      <c r="BL91" s="9">
        <v>440820.91</v>
      </c>
      <c r="BM91" s="14">
        <v>0.007882525884569582</v>
      </c>
      <c r="BN91" s="10">
        <v>116</v>
      </c>
      <c r="BO91" s="14">
        <v>0.011379242691779479</v>
      </c>
      <c r="BP91" s="56"/>
      <c r="BQ91" s="55"/>
      <c r="BR91" s="56"/>
      <c r="BS91" s="9">
        <v>355704.88</v>
      </c>
      <c r="BT91" s="14">
        <v>0.00662426288899773</v>
      </c>
      <c r="BU91" s="10">
        <v>98</v>
      </c>
      <c r="BV91" s="14">
        <v>0.009720293592541162</v>
      </c>
      <c r="BW91" s="56"/>
      <c r="BX91" s="55"/>
      <c r="BY91" s="56"/>
      <c r="BZ91" s="9">
        <v>311506.89</v>
      </c>
      <c r="CA91" s="14">
        <v>0.005879185941333097</v>
      </c>
      <c r="CB91" s="10">
        <v>89</v>
      </c>
      <c r="CC91" s="14">
        <v>0.009008097165991902</v>
      </c>
      <c r="CD91" s="56"/>
      <c r="CE91" s="55"/>
      <c r="CF91" s="56"/>
      <c r="CG91" s="9">
        <v>245512.38</v>
      </c>
      <c r="CH91" s="14">
        <v>0.00476814232712998</v>
      </c>
      <c r="CI91" s="10">
        <v>73</v>
      </c>
      <c r="CJ91" s="14">
        <v>0.00775688024652003</v>
      </c>
      <c r="CK91" s="56"/>
      <c r="CL91" s="55"/>
      <c r="CM91" s="56"/>
      <c r="CN91" s="9">
        <v>190841.54</v>
      </c>
      <c r="CO91" s="14">
        <v>0.004180971219889616</v>
      </c>
      <c r="CP91" s="10">
        <v>60</v>
      </c>
      <c r="CQ91" s="14">
        <v>0.0070863351836541865</v>
      </c>
      <c r="CR91" s="56"/>
      <c r="CS91" s="55"/>
      <c r="CT91" s="56"/>
      <c r="CU91" s="9">
        <v>149522.72</v>
      </c>
      <c r="CV91" s="14">
        <v>0.0020875633619259855</v>
      </c>
      <c r="CW91" s="10">
        <v>53</v>
      </c>
      <c r="CX91" s="14">
        <v>0.0039378854298239094</v>
      </c>
      <c r="CY91" s="56"/>
      <c r="CZ91" s="55"/>
      <c r="DA91" s="56"/>
    </row>
    <row r="92" spans="1:105" ht="12.75">
      <c r="A92" s="8" t="s">
        <v>75</v>
      </c>
      <c r="B92" s="8"/>
      <c r="C92" s="8"/>
      <c r="D92" s="9">
        <v>225471.34</v>
      </c>
      <c r="E92" s="14">
        <f t="shared" si="8"/>
        <v>0.00853749291682819</v>
      </c>
      <c r="F92" s="10">
        <v>43</v>
      </c>
      <c r="G92" s="14">
        <f t="shared" si="9"/>
        <v>0.012109264995775838</v>
      </c>
      <c r="H92" s="14"/>
      <c r="I92" s="9">
        <v>199820.76</v>
      </c>
      <c r="J92" s="14">
        <f t="shared" si="10"/>
        <v>0.008212465351913282</v>
      </c>
      <c r="K92" s="10">
        <v>39</v>
      </c>
      <c r="L92" s="14">
        <f t="shared" si="11"/>
        <v>0.01132404181184669</v>
      </c>
      <c r="M92" s="56"/>
      <c r="N92" s="55"/>
      <c r="O92" s="56"/>
      <c r="P92" s="9">
        <v>291689.81</v>
      </c>
      <c r="Q92" s="14">
        <v>0.007686668112789299</v>
      </c>
      <c r="R92" s="10">
        <v>60</v>
      </c>
      <c r="S92" s="14">
        <v>0.01066477070742979</v>
      </c>
      <c r="T92" s="56"/>
      <c r="U92" s="55"/>
      <c r="V92" s="56"/>
      <c r="W92" s="9">
        <v>303448.54</v>
      </c>
      <c r="X92" s="14">
        <v>0.006505767553410327</v>
      </c>
      <c r="Y92" s="10">
        <v>65</v>
      </c>
      <c r="Z92" s="14">
        <v>0.009198981035946787</v>
      </c>
      <c r="AA92" s="56"/>
      <c r="AB92" s="55"/>
      <c r="AC92" s="56"/>
      <c r="AD92" s="9">
        <v>296089.94</v>
      </c>
      <c r="AE92" s="14">
        <v>0.0059109641162654</v>
      </c>
      <c r="AF92" s="10">
        <v>67</v>
      </c>
      <c r="AG92" s="14">
        <v>0.008448928121059268</v>
      </c>
      <c r="AH92" s="56"/>
      <c r="AI92" s="55"/>
      <c r="AJ92" s="56"/>
      <c r="AK92" s="9">
        <v>321160.36</v>
      </c>
      <c r="AL92" s="14">
        <v>0.005728981139412323</v>
      </c>
      <c r="AM92" s="10">
        <v>73</v>
      </c>
      <c r="AN92" s="14">
        <v>0.008078795927401504</v>
      </c>
      <c r="AO92" s="56"/>
      <c r="AP92" s="55"/>
      <c r="AQ92" s="56"/>
      <c r="AR92" s="9">
        <v>289198.1</v>
      </c>
      <c r="AS92" s="14">
        <v>0.004279450221283862</v>
      </c>
      <c r="AT92" s="10">
        <v>72</v>
      </c>
      <c r="AU92" s="14">
        <v>0.0065099457504520794</v>
      </c>
      <c r="AV92" s="56"/>
      <c r="AW92" s="55"/>
      <c r="AX92" s="56"/>
      <c r="AY92" s="9">
        <v>314945.5</v>
      </c>
      <c r="AZ92" s="14">
        <v>0.004326424683108506</v>
      </c>
      <c r="BA92" s="10">
        <v>76</v>
      </c>
      <c r="BB92" s="14">
        <v>0.006251028129626583</v>
      </c>
      <c r="BC92" s="56"/>
      <c r="BD92" s="55"/>
      <c r="BE92" s="9">
        <v>282195.61</v>
      </c>
      <c r="BF92" s="14">
        <v>0.004371994737486572</v>
      </c>
      <c r="BG92" s="10">
        <v>73</v>
      </c>
      <c r="BH92" s="14">
        <v>0.006587258617578054</v>
      </c>
      <c r="BI92" s="56"/>
      <c r="BJ92" s="55"/>
      <c r="BK92" s="56"/>
      <c r="BL92" s="9">
        <v>236441.6</v>
      </c>
      <c r="BM92" s="14">
        <v>0.004227923380923664</v>
      </c>
      <c r="BN92" s="10">
        <v>64</v>
      </c>
      <c r="BO92" s="14">
        <v>0.006278202864430057</v>
      </c>
      <c r="BP92" s="56"/>
      <c r="BQ92" s="55"/>
      <c r="BR92" s="56"/>
      <c r="BS92" s="9">
        <v>201738.57</v>
      </c>
      <c r="BT92" s="14">
        <v>0.0037569608899671865</v>
      </c>
      <c r="BU92" s="10">
        <v>57</v>
      </c>
      <c r="BV92" s="14">
        <v>0.005653640150763737</v>
      </c>
      <c r="BW92" s="56"/>
      <c r="BX92" s="55"/>
      <c r="BY92" s="56"/>
      <c r="BZ92" s="9">
        <v>174150.89</v>
      </c>
      <c r="CA92" s="14">
        <v>0.0032868148250545814</v>
      </c>
      <c r="CB92" s="10">
        <v>48</v>
      </c>
      <c r="CC92" s="14">
        <v>0.004858299595141701</v>
      </c>
      <c r="CD92" s="56"/>
      <c r="CE92" s="55"/>
      <c r="CF92" s="56"/>
      <c r="CG92" s="9">
        <v>141080.22</v>
      </c>
      <c r="CH92" s="14">
        <v>0.0027399456129373577</v>
      </c>
      <c r="CI92" s="10">
        <v>40</v>
      </c>
      <c r="CJ92" s="14">
        <v>0.0042503453405589205</v>
      </c>
      <c r="CK92" s="56"/>
      <c r="CL92" s="55"/>
      <c r="CM92" s="56"/>
      <c r="CN92" s="9">
        <v>118822.54</v>
      </c>
      <c r="CO92" s="14">
        <v>0.0026031733972288343</v>
      </c>
      <c r="CP92" s="10">
        <v>35</v>
      </c>
      <c r="CQ92" s="14">
        <v>0.004133695523798275</v>
      </c>
      <c r="CR92" s="56"/>
      <c r="CS92" s="55"/>
      <c r="CT92" s="56"/>
      <c r="CU92" s="9">
        <v>99623.24</v>
      </c>
      <c r="CV92" s="14">
        <v>0.0013908911356104229</v>
      </c>
      <c r="CW92" s="10">
        <v>32</v>
      </c>
      <c r="CX92" s="14">
        <v>0.0023775912029125493</v>
      </c>
      <c r="CY92" s="56"/>
      <c r="CZ92" s="55"/>
      <c r="DA92" s="56"/>
    </row>
    <row r="93" spans="1:105" ht="12.75">
      <c r="A93" s="8" t="s">
        <v>76</v>
      </c>
      <c r="B93" s="8"/>
      <c r="C93" s="8"/>
      <c r="D93" s="9">
        <v>511491.89</v>
      </c>
      <c r="E93" s="14">
        <f t="shared" si="8"/>
        <v>0.019367687209780472</v>
      </c>
      <c r="F93" s="10">
        <v>112</v>
      </c>
      <c r="G93" s="14">
        <f t="shared" si="9"/>
        <v>0.03154041115178823</v>
      </c>
      <c r="H93" s="14"/>
      <c r="I93" s="9">
        <v>451049.03</v>
      </c>
      <c r="J93" s="14">
        <f t="shared" si="10"/>
        <v>0.018537736173604255</v>
      </c>
      <c r="K93" s="10">
        <v>104</v>
      </c>
      <c r="L93" s="14">
        <f t="shared" si="11"/>
        <v>0.030197444831591175</v>
      </c>
      <c r="M93" s="56"/>
      <c r="N93" s="55"/>
      <c r="O93" s="56"/>
      <c r="P93" s="9">
        <v>751781.6</v>
      </c>
      <c r="Q93" s="14">
        <v>0.01981109882618704</v>
      </c>
      <c r="R93" s="10">
        <v>172</v>
      </c>
      <c r="S93" s="14">
        <v>0.030572342694632066</v>
      </c>
      <c r="T93" s="56"/>
      <c r="U93" s="55"/>
      <c r="V93" s="56"/>
      <c r="W93" s="9">
        <v>864105.65</v>
      </c>
      <c r="X93" s="14">
        <v>0.018525943477890966</v>
      </c>
      <c r="Y93" s="10">
        <v>201</v>
      </c>
      <c r="Z93" s="14">
        <v>0.028446079818850833</v>
      </c>
      <c r="AA93" s="56"/>
      <c r="AB93" s="55"/>
      <c r="AC93" s="56"/>
      <c r="AD93" s="9">
        <v>842551.27</v>
      </c>
      <c r="AE93" s="14">
        <v>0.016820194306783394</v>
      </c>
      <c r="AF93" s="10">
        <v>200</v>
      </c>
      <c r="AG93" s="14">
        <v>0.025220680958385876</v>
      </c>
      <c r="AH93" s="56"/>
      <c r="AI93" s="55"/>
      <c r="AJ93" s="56"/>
      <c r="AK93" s="9">
        <v>960280.75</v>
      </c>
      <c r="AL93" s="14">
        <v>0.017129854709624567</v>
      </c>
      <c r="AM93" s="10">
        <v>235</v>
      </c>
      <c r="AN93" s="14">
        <v>0.026007082779991145</v>
      </c>
      <c r="AO93" s="56"/>
      <c r="AP93" s="55"/>
      <c r="AQ93" s="56"/>
      <c r="AR93" s="9">
        <v>1027057.94</v>
      </c>
      <c r="AS93" s="14">
        <v>0.015198036669688848</v>
      </c>
      <c r="AT93" s="10">
        <v>257</v>
      </c>
      <c r="AU93" s="14">
        <v>0.023236889692585895</v>
      </c>
      <c r="AV93" s="56"/>
      <c r="AW93" s="55"/>
      <c r="AX93" s="56"/>
      <c r="AY93" s="9">
        <v>1209956.97</v>
      </c>
      <c r="AZ93" s="14">
        <v>0.016621249392377982</v>
      </c>
      <c r="BA93" s="10">
        <v>304</v>
      </c>
      <c r="BB93" s="14">
        <v>0.025004112518506334</v>
      </c>
      <c r="BC93" s="56"/>
      <c r="BD93" s="55"/>
      <c r="BE93" s="9">
        <v>1069678.03</v>
      </c>
      <c r="BF93" s="14">
        <v>0.016572287279610784</v>
      </c>
      <c r="BG93" s="10">
        <v>277</v>
      </c>
      <c r="BH93" s="14">
        <v>0.024995488179029055</v>
      </c>
      <c r="BI93" s="56"/>
      <c r="BJ93" s="55"/>
      <c r="BK93" s="56"/>
      <c r="BL93" s="9">
        <v>903076.63</v>
      </c>
      <c r="BM93" s="14">
        <v>0.016148337681451772</v>
      </c>
      <c r="BN93" s="10">
        <v>248</v>
      </c>
      <c r="BO93" s="14">
        <v>0.02432803609966647</v>
      </c>
      <c r="BP93" s="56"/>
      <c r="BQ93" s="55"/>
      <c r="BR93" s="56"/>
      <c r="BS93" s="9">
        <v>809443.08</v>
      </c>
      <c r="BT93" s="14">
        <v>0.015074192278722812</v>
      </c>
      <c r="BU93" s="10">
        <v>232</v>
      </c>
      <c r="BV93" s="14">
        <v>0.023011307280301527</v>
      </c>
      <c r="BW93" s="56"/>
      <c r="BX93" s="55"/>
      <c r="BY93" s="56"/>
      <c r="BZ93" s="9">
        <v>694894.35</v>
      </c>
      <c r="CA93" s="14">
        <v>0.01311500074117719</v>
      </c>
      <c r="CB93" s="10">
        <v>214</v>
      </c>
      <c r="CC93" s="14">
        <v>0.02165991902834008</v>
      </c>
      <c r="CD93" s="56"/>
      <c r="CE93" s="55"/>
      <c r="CF93" s="56"/>
      <c r="CG93" s="9">
        <v>594114.92</v>
      </c>
      <c r="CH93" s="14">
        <v>0.011538418132851148</v>
      </c>
      <c r="CI93" s="10">
        <v>192</v>
      </c>
      <c r="CJ93" s="14">
        <v>0.020401657634682817</v>
      </c>
      <c r="CK93" s="56"/>
      <c r="CL93" s="55"/>
      <c r="CM93" s="56"/>
      <c r="CN93" s="9">
        <v>489061.39</v>
      </c>
      <c r="CO93" s="14">
        <v>0.010714394760958286</v>
      </c>
      <c r="CP93" s="10">
        <v>168</v>
      </c>
      <c r="CQ93" s="14">
        <v>0.019841738514231724</v>
      </c>
      <c r="CR93" s="56"/>
      <c r="CS93" s="55"/>
      <c r="CT93" s="56"/>
      <c r="CU93" s="9">
        <v>389343.53</v>
      </c>
      <c r="CV93" s="14">
        <v>0.005435824658827307</v>
      </c>
      <c r="CW93" s="10">
        <v>141</v>
      </c>
      <c r="CX93" s="14">
        <v>0.01047626123783342</v>
      </c>
      <c r="CY93" s="56"/>
      <c r="CZ93" s="55"/>
      <c r="DA93" s="56"/>
    </row>
    <row r="94" spans="1:105" ht="12.75">
      <c r="A94" s="8"/>
      <c r="B94" s="8"/>
      <c r="C94" s="8"/>
      <c r="D94" s="9"/>
      <c r="E94" s="8"/>
      <c r="F94" s="10"/>
      <c r="G94" s="8"/>
      <c r="H94" s="8"/>
      <c r="I94" s="9"/>
      <c r="J94" s="8"/>
      <c r="K94" s="10"/>
      <c r="L94" s="8"/>
      <c r="M94" s="54"/>
      <c r="N94" s="55"/>
      <c r="O94" s="54"/>
      <c r="P94" s="9"/>
      <c r="Q94" s="8"/>
      <c r="R94" s="10"/>
      <c r="S94" s="8"/>
      <c r="T94" s="54"/>
      <c r="U94" s="55"/>
      <c r="V94" s="54"/>
      <c r="W94" s="9"/>
      <c r="X94" s="8"/>
      <c r="Y94" s="10"/>
      <c r="Z94" s="8"/>
      <c r="AA94" s="54"/>
      <c r="AB94" s="55"/>
      <c r="AC94" s="54"/>
      <c r="AD94" s="9"/>
      <c r="AE94" s="8"/>
      <c r="AF94" s="10"/>
      <c r="AG94" s="8"/>
      <c r="AH94" s="54"/>
      <c r="AI94" s="55"/>
      <c r="AJ94" s="54"/>
      <c r="AK94" s="9"/>
      <c r="AL94" s="8"/>
      <c r="AM94" s="10"/>
      <c r="AN94" s="8"/>
      <c r="AO94" s="54"/>
      <c r="AP94" s="55"/>
      <c r="AQ94" s="54"/>
      <c r="AR94" s="9"/>
      <c r="AS94" s="8"/>
      <c r="AT94" s="10"/>
      <c r="AU94" s="8"/>
      <c r="AV94" s="54"/>
      <c r="AW94" s="55"/>
      <c r="AX94" s="54"/>
      <c r="AY94" s="9"/>
      <c r="AZ94" s="8"/>
      <c r="BA94" s="10"/>
      <c r="BB94" s="8"/>
      <c r="BC94" s="54"/>
      <c r="BD94" s="55"/>
      <c r="BE94" s="9"/>
      <c r="BF94" s="8"/>
      <c r="BG94" s="10"/>
      <c r="BH94" s="8"/>
      <c r="BI94" s="54"/>
      <c r="BJ94" s="55"/>
      <c r="BK94" s="54"/>
      <c r="BL94" s="9"/>
      <c r="BM94" s="8"/>
      <c r="BN94" s="10"/>
      <c r="BO94" s="8"/>
      <c r="BP94" s="54"/>
      <c r="BQ94" s="55"/>
      <c r="BR94" s="54"/>
      <c r="BS94" s="9"/>
      <c r="BT94" s="8"/>
      <c r="BU94" s="10"/>
      <c r="BV94" s="8"/>
      <c r="BW94" s="54"/>
      <c r="BX94" s="55"/>
      <c r="BY94" s="54"/>
      <c r="BZ94" s="9"/>
      <c r="CA94" s="8"/>
      <c r="CB94" s="10"/>
      <c r="CC94" s="8"/>
      <c r="CD94" s="54"/>
      <c r="CE94" s="55"/>
      <c r="CF94" s="54"/>
      <c r="CG94" s="9"/>
      <c r="CH94" s="8"/>
      <c r="CI94" s="10"/>
      <c r="CJ94" s="8"/>
      <c r="CK94" s="54"/>
      <c r="CL94" s="55"/>
      <c r="CM94" s="54"/>
      <c r="CN94" s="9"/>
      <c r="CO94" s="8"/>
      <c r="CP94" s="10"/>
      <c r="CQ94" s="8"/>
      <c r="CR94" s="54"/>
      <c r="CS94" s="55"/>
      <c r="CT94" s="54"/>
      <c r="CU94" s="9"/>
      <c r="CV94" s="8"/>
      <c r="CW94" s="10"/>
      <c r="CX94" s="8"/>
      <c r="CY94" s="54"/>
      <c r="CZ94" s="55"/>
      <c r="DA94" s="54"/>
    </row>
    <row r="95" spans="1:105" s="1" customFormat="1" ht="13.5" thickBot="1">
      <c r="A95" s="8"/>
      <c r="B95" s="12"/>
      <c r="C95" s="12"/>
      <c r="D95" s="21">
        <f>SUM(D82:D93)</f>
        <v>26409549.290000003</v>
      </c>
      <c r="E95" s="12"/>
      <c r="F95" s="22">
        <f>SUM(F82:F93)</f>
        <v>3551</v>
      </c>
      <c r="G95" s="12"/>
      <c r="H95" s="12"/>
      <c r="I95" s="21">
        <f>SUM(I82:I93)</f>
        <v>24331397.63000001</v>
      </c>
      <c r="J95" s="12"/>
      <c r="K95" s="22">
        <f>SUM(K82:K93)</f>
        <v>3444</v>
      </c>
      <c r="L95" s="12"/>
      <c r="M95" s="53"/>
      <c r="N95" s="31"/>
      <c r="O95" s="53"/>
      <c r="P95" s="21">
        <v>37947496.33</v>
      </c>
      <c r="Q95" s="12"/>
      <c r="R95" s="22">
        <v>5626</v>
      </c>
      <c r="S95" s="12"/>
      <c r="T95" s="53"/>
      <c r="U95" s="31"/>
      <c r="V95" s="53"/>
      <c r="W95" s="21">
        <f>SUM(W82:W94)</f>
        <v>46643003.69</v>
      </c>
      <c r="X95" s="12"/>
      <c r="Y95" s="22">
        <f>SUM(Y82:Y94)</f>
        <v>7066</v>
      </c>
      <c r="Z95" s="12"/>
      <c r="AA95" s="53"/>
      <c r="AB95" s="31"/>
      <c r="AC95" s="53"/>
      <c r="AD95" s="21">
        <f>SUM(AD82:AD94)</f>
        <v>50091649.03999998</v>
      </c>
      <c r="AE95" s="12"/>
      <c r="AF95" s="22">
        <f>SUM(AF82:AF94)</f>
        <v>7930</v>
      </c>
      <c r="AG95" s="12"/>
      <c r="AH95" s="53"/>
      <c r="AI95" s="31"/>
      <c r="AJ95" s="53"/>
      <c r="AK95" s="21">
        <f>SUM(AK82:AK94)</f>
        <v>56058896.37000002</v>
      </c>
      <c r="AL95" s="12"/>
      <c r="AM95" s="22">
        <f>SUM(AM82:AM94)</f>
        <v>9036</v>
      </c>
      <c r="AN95" s="12"/>
      <c r="AO95" s="53"/>
      <c r="AP95" s="31"/>
      <c r="AQ95" s="53"/>
      <c r="AR95" s="21">
        <f>SUM(AR82:AR94)</f>
        <v>67578330.16999996</v>
      </c>
      <c r="AS95" s="12"/>
      <c r="AT95" s="22">
        <f>SUM(AT82:AT94)</f>
        <v>11060</v>
      </c>
      <c r="AU95" s="12"/>
      <c r="AV95" s="53"/>
      <c r="AW95" s="31"/>
      <c r="AX95" s="53"/>
      <c r="AY95" s="21">
        <f>SUM(AY82:AY94)</f>
        <v>72795789.38</v>
      </c>
      <c r="AZ95" s="12"/>
      <c r="BA95" s="22">
        <f>SUM(BA82:BA94)</f>
        <v>12158</v>
      </c>
      <c r="BB95" s="12"/>
      <c r="BC95" s="53"/>
      <c r="BD95" s="31"/>
      <c r="BE95" s="21">
        <f>SUM(BE82:BE94)</f>
        <v>64546191.6</v>
      </c>
      <c r="BF95" s="12"/>
      <c r="BG95" s="22">
        <f>SUM(BG82:BG94)</f>
        <v>11082</v>
      </c>
      <c r="BH95" s="12"/>
      <c r="BI95" s="53"/>
      <c r="BJ95" s="31"/>
      <c r="BK95" s="53"/>
      <c r="BL95" s="21">
        <f>SUM(BL82:BL94)</f>
        <v>55923813.82</v>
      </c>
      <c r="BM95" s="12"/>
      <c r="BN95" s="22">
        <f>SUM(BN82:BN94)</f>
        <v>10194</v>
      </c>
      <c r="BO95" s="12"/>
      <c r="BP95" s="53"/>
      <c r="BQ95" s="31"/>
      <c r="BR95" s="53"/>
      <c r="BS95" s="21">
        <f>SUM(BS82:BS94)</f>
        <v>53697277.10999995</v>
      </c>
      <c r="BT95" s="12"/>
      <c r="BU95" s="22">
        <f>SUM(BU82:BU94)</f>
        <v>10082</v>
      </c>
      <c r="BV95" s="12"/>
      <c r="BW95" s="53"/>
      <c r="BX95" s="31"/>
      <c r="BY95" s="53"/>
      <c r="BZ95" s="21">
        <f>SUM(BZ82:BZ94)</f>
        <v>52984697.73000004</v>
      </c>
      <c r="CA95" s="12"/>
      <c r="CB95" s="22">
        <f>SUM(CB82:CB94)</f>
        <v>9880</v>
      </c>
      <c r="CC95" s="12"/>
      <c r="CD95" s="53"/>
      <c r="CE95" s="31"/>
      <c r="CF95" s="53"/>
      <c r="CG95" s="21">
        <f>SUM(CG82:CG94)</f>
        <v>51490153.43000003</v>
      </c>
      <c r="CH95" s="12"/>
      <c r="CI95" s="22">
        <f>SUM(CI82:CI94)</f>
        <v>9411</v>
      </c>
      <c r="CJ95" s="12"/>
      <c r="CK95" s="53"/>
      <c r="CL95" s="31"/>
      <c r="CM95" s="53"/>
      <c r="CN95" s="21">
        <f>SUM(CN82:CN94)</f>
        <v>45645265.17000004</v>
      </c>
      <c r="CO95" s="12"/>
      <c r="CP95" s="22">
        <f>SUM(CP82:CP94)</f>
        <v>8467</v>
      </c>
      <c r="CQ95" s="12"/>
      <c r="CR95" s="53"/>
      <c r="CS95" s="31"/>
      <c r="CT95" s="53"/>
      <c r="CU95" s="21">
        <f>SUM(CU82:CU94)</f>
        <v>71625476.25000009</v>
      </c>
      <c r="CV95" s="12"/>
      <c r="CW95" s="22">
        <f>SUM(CW82:CW94)</f>
        <v>13459</v>
      </c>
      <c r="CX95" s="12"/>
      <c r="CY95" s="53"/>
      <c r="CZ95" s="31"/>
      <c r="DA95" s="53"/>
    </row>
    <row r="96" spans="1:105" ht="13.5" thickTop="1">
      <c r="A96" s="12"/>
      <c r="B96" s="8"/>
      <c r="C96" s="8"/>
      <c r="D96" s="9"/>
      <c r="E96" s="8"/>
      <c r="F96" s="10"/>
      <c r="G96" s="8"/>
      <c r="H96" s="8"/>
      <c r="I96" s="9"/>
      <c r="J96" s="8"/>
      <c r="K96" s="10"/>
      <c r="L96" s="8"/>
      <c r="M96" s="54"/>
      <c r="N96" s="55"/>
      <c r="O96" s="54"/>
      <c r="P96" s="9"/>
      <c r="Q96" s="8"/>
      <c r="R96" s="10"/>
      <c r="S96" s="8"/>
      <c r="T96" s="54"/>
      <c r="U96" s="55"/>
      <c r="V96" s="54"/>
      <c r="W96" s="9"/>
      <c r="X96" s="8"/>
      <c r="Y96" s="10"/>
      <c r="Z96" s="8"/>
      <c r="AA96" s="54"/>
      <c r="AB96" s="55"/>
      <c r="AC96" s="54"/>
      <c r="AD96" s="9"/>
      <c r="AE96" s="8"/>
      <c r="AF96" s="10"/>
      <c r="AG96" s="8"/>
      <c r="AH96" s="54"/>
      <c r="AI96" s="55"/>
      <c r="AJ96" s="54"/>
      <c r="AK96" s="9"/>
      <c r="AL96" s="8"/>
      <c r="AM96" s="10"/>
      <c r="AN96" s="8"/>
      <c r="AO96" s="54"/>
      <c r="AP96" s="55"/>
      <c r="AQ96" s="54"/>
      <c r="AR96" s="9"/>
      <c r="AS96" s="8"/>
      <c r="AT96" s="10"/>
      <c r="AU96" s="8"/>
      <c r="AV96" s="54"/>
      <c r="AW96" s="55"/>
      <c r="AX96" s="54"/>
      <c r="AY96" s="9"/>
      <c r="AZ96" s="8"/>
      <c r="BA96" s="10"/>
      <c r="BB96" s="8"/>
      <c r="BC96" s="54"/>
      <c r="BD96" s="55"/>
      <c r="BE96" s="9"/>
      <c r="BF96" s="8"/>
      <c r="BG96" s="10"/>
      <c r="BH96" s="8"/>
      <c r="BI96" s="54"/>
      <c r="BJ96" s="55"/>
      <c r="BK96" s="54"/>
      <c r="BL96" s="9"/>
      <c r="BM96" s="8"/>
      <c r="BN96" s="10"/>
      <c r="BO96" s="8"/>
      <c r="BP96" s="54"/>
      <c r="BQ96" s="55"/>
      <c r="BR96" s="54"/>
      <c r="BS96" s="9"/>
      <c r="BT96" s="8"/>
      <c r="BU96" s="10"/>
      <c r="BV96" s="8"/>
      <c r="BW96" s="54"/>
      <c r="BX96" s="55"/>
      <c r="BY96" s="54"/>
      <c r="BZ96" s="9"/>
      <c r="CA96" s="8"/>
      <c r="CB96" s="10"/>
      <c r="CC96" s="8"/>
      <c r="CD96" s="54"/>
      <c r="CE96" s="55"/>
      <c r="CF96" s="54"/>
      <c r="CG96" s="9"/>
      <c r="CH96" s="8"/>
      <c r="CI96" s="10"/>
      <c r="CJ96" s="8"/>
      <c r="CK96" s="54"/>
      <c r="CL96" s="55"/>
      <c r="CM96" s="54"/>
      <c r="CN96" s="9"/>
      <c r="CO96" s="8"/>
      <c r="CP96" s="10"/>
      <c r="CQ96" s="8"/>
      <c r="CR96" s="54"/>
      <c r="CS96" s="55"/>
      <c r="CT96" s="54"/>
      <c r="CU96" s="9"/>
      <c r="CV96" s="8"/>
      <c r="CW96" s="10"/>
      <c r="CX96" s="8"/>
      <c r="CY96" s="54"/>
      <c r="CZ96" s="55"/>
      <c r="DA96" s="54"/>
    </row>
    <row r="97" spans="1:105" ht="12.75">
      <c r="A97" s="8"/>
      <c r="B97" s="8"/>
      <c r="C97" s="8"/>
      <c r="D97" s="9"/>
      <c r="E97" s="8"/>
      <c r="F97" s="10"/>
      <c r="G97" s="8"/>
      <c r="H97" s="8"/>
      <c r="I97" s="8"/>
      <c r="J97" s="8"/>
      <c r="K97" s="8"/>
      <c r="L97" s="9"/>
      <c r="M97" s="8"/>
      <c r="N97" s="10"/>
      <c r="O97" s="8"/>
      <c r="P97" s="8"/>
      <c r="Q97" s="8"/>
      <c r="R97" s="8"/>
      <c r="S97" s="9"/>
      <c r="T97" s="8"/>
      <c r="U97" s="10"/>
      <c r="V97" s="8"/>
      <c r="W97" s="8"/>
      <c r="X97" s="8"/>
      <c r="Y97" s="8"/>
      <c r="Z97" s="9"/>
      <c r="AA97" s="8"/>
      <c r="AB97" s="10"/>
      <c r="AC97" s="8"/>
      <c r="AD97" s="8"/>
      <c r="AE97" s="8"/>
      <c r="AF97" s="8"/>
      <c r="AG97" s="9"/>
      <c r="AH97" s="8"/>
      <c r="AI97" s="10"/>
      <c r="AJ97" s="8"/>
      <c r="AK97" s="8"/>
      <c r="AL97" s="8"/>
      <c r="AM97" s="8"/>
      <c r="AN97" s="9"/>
      <c r="AO97" s="8"/>
      <c r="AP97" s="10"/>
      <c r="AQ97" s="8"/>
      <c r="AR97" s="8"/>
      <c r="AS97" s="8"/>
      <c r="AT97" s="8"/>
      <c r="AU97" s="9"/>
      <c r="AV97" s="8"/>
      <c r="AW97" s="10"/>
      <c r="AX97" s="8"/>
      <c r="AY97" s="8"/>
      <c r="AZ97" s="8"/>
      <c r="BA97" s="8"/>
      <c r="BB97" s="9"/>
      <c r="BC97" s="8"/>
      <c r="BD97" s="10"/>
      <c r="BE97" s="8"/>
      <c r="BF97" s="8"/>
      <c r="BG97" s="8"/>
      <c r="BH97" s="9"/>
      <c r="BI97" s="8"/>
      <c r="BJ97" s="10"/>
      <c r="BK97" s="8"/>
      <c r="BL97" s="8"/>
      <c r="BM97" s="8"/>
      <c r="BN97" s="8"/>
      <c r="BO97" s="9"/>
      <c r="BP97" s="8"/>
      <c r="BQ97" s="10"/>
      <c r="BR97" s="8"/>
      <c r="BS97" s="8"/>
      <c r="BT97" s="8"/>
      <c r="BU97" s="8"/>
      <c r="BV97" s="9"/>
      <c r="BW97" s="8"/>
      <c r="BX97" s="10"/>
      <c r="BY97" s="8"/>
      <c r="BZ97" s="8"/>
      <c r="CA97" s="8"/>
      <c r="CB97" s="8"/>
      <c r="CC97" s="9"/>
      <c r="CD97" s="8"/>
      <c r="CE97" s="10"/>
      <c r="CF97" s="8"/>
      <c r="CG97" s="8"/>
      <c r="CH97" s="8"/>
      <c r="CI97" s="8"/>
      <c r="CJ97" s="9"/>
      <c r="CK97" s="8"/>
      <c r="CL97" s="10"/>
      <c r="CM97" s="8"/>
      <c r="CN97" s="8"/>
      <c r="CO97" s="8"/>
      <c r="CP97" s="8"/>
      <c r="CQ97" s="9"/>
      <c r="CR97" s="8"/>
      <c r="CS97" s="10"/>
      <c r="CT97" s="8"/>
      <c r="CU97" s="8"/>
      <c r="CV97" s="8"/>
      <c r="CW97" s="8"/>
      <c r="CX97" s="9"/>
      <c r="CY97" s="8"/>
      <c r="CZ97" s="10"/>
      <c r="DA97" s="8"/>
    </row>
    <row r="98" spans="1:105" ht="12.75">
      <c r="A98" s="8"/>
      <c r="B98" s="8"/>
      <c r="C98" s="8"/>
      <c r="D98" s="9"/>
      <c r="E98" s="8"/>
      <c r="F98" s="10"/>
      <c r="G98" s="8"/>
      <c r="H98" s="8"/>
      <c r="I98" s="8"/>
      <c r="J98" s="8"/>
      <c r="K98" s="8"/>
      <c r="L98" s="9"/>
      <c r="M98" s="8"/>
      <c r="N98" s="10"/>
      <c r="O98" s="8"/>
      <c r="P98" s="8"/>
      <c r="Q98" s="8"/>
      <c r="R98" s="8"/>
      <c r="S98" s="9"/>
      <c r="T98" s="8"/>
      <c r="U98" s="10"/>
      <c r="V98" s="8"/>
      <c r="W98" s="8"/>
      <c r="X98" s="8"/>
      <c r="Y98" s="8"/>
      <c r="Z98" s="9"/>
      <c r="AA98" s="8"/>
      <c r="AB98" s="10"/>
      <c r="AC98" s="8"/>
      <c r="AD98" s="8"/>
      <c r="AE98" s="8"/>
      <c r="AF98" s="8"/>
      <c r="AG98" s="9"/>
      <c r="AH98" s="8"/>
      <c r="AI98" s="10"/>
      <c r="AJ98" s="8"/>
      <c r="AK98" s="8"/>
      <c r="AL98" s="8"/>
      <c r="AM98" s="8"/>
      <c r="AN98" s="9"/>
      <c r="AO98" s="8"/>
      <c r="AP98" s="10"/>
      <c r="AQ98" s="8"/>
      <c r="AR98" s="8"/>
      <c r="AS98" s="8"/>
      <c r="AT98" s="8"/>
      <c r="AU98" s="9"/>
      <c r="AV98" s="8"/>
      <c r="AW98" s="10"/>
      <c r="AX98" s="8"/>
      <c r="AY98" s="8"/>
      <c r="AZ98" s="8"/>
      <c r="BA98" s="8"/>
      <c r="BB98" s="9"/>
      <c r="BC98" s="8"/>
      <c r="BD98" s="10"/>
      <c r="BE98" s="8"/>
      <c r="BF98" s="8"/>
      <c r="BG98" s="8"/>
      <c r="BH98" s="9"/>
      <c r="BI98" s="8"/>
      <c r="BJ98" s="10"/>
      <c r="BK98" s="8"/>
      <c r="BL98" s="8"/>
      <c r="BM98" s="8"/>
      <c r="BN98" s="8"/>
      <c r="BO98" s="9"/>
      <c r="BP98" s="8"/>
      <c r="BQ98" s="10"/>
      <c r="BR98" s="8"/>
      <c r="BS98" s="8"/>
      <c r="BT98" s="8"/>
      <c r="BU98" s="8"/>
      <c r="BV98" s="9"/>
      <c r="BW98" s="8"/>
      <c r="BX98" s="10"/>
      <c r="BY98" s="8"/>
      <c r="BZ98" s="8"/>
      <c r="CA98" s="8"/>
      <c r="CB98" s="8"/>
      <c r="CC98" s="9"/>
      <c r="CD98" s="8"/>
      <c r="CE98" s="10"/>
      <c r="CF98" s="8"/>
      <c r="CG98" s="8"/>
      <c r="CH98" s="8"/>
      <c r="CI98" s="8"/>
      <c r="CJ98" s="9"/>
      <c r="CK98" s="8"/>
      <c r="CL98" s="10"/>
      <c r="CM98" s="8"/>
      <c r="CN98" s="8"/>
      <c r="CO98" s="8"/>
      <c r="CP98" s="8"/>
      <c r="CQ98" s="9"/>
      <c r="CR98" s="8"/>
      <c r="CS98" s="10"/>
      <c r="CT98" s="8"/>
      <c r="CU98" s="8"/>
      <c r="CV98" s="8"/>
      <c r="CW98" s="8"/>
      <c r="CX98" s="9"/>
      <c r="CY98" s="8"/>
      <c r="CZ98" s="10"/>
      <c r="DA98" s="8"/>
    </row>
    <row r="99" spans="1:105" ht="12.75">
      <c r="A99" s="8"/>
      <c r="B99" s="8"/>
      <c r="C99" s="8"/>
      <c r="D99" s="9"/>
      <c r="E99" s="8"/>
      <c r="F99" s="10"/>
      <c r="G99" s="8"/>
      <c r="H99" s="8"/>
      <c r="I99" s="8"/>
      <c r="J99" s="8"/>
      <c r="K99" s="8"/>
      <c r="L99" s="9"/>
      <c r="M99" s="8"/>
      <c r="N99" s="10"/>
      <c r="O99" s="8"/>
      <c r="P99" s="8"/>
      <c r="Q99" s="8"/>
      <c r="R99" s="8"/>
      <c r="S99" s="9"/>
      <c r="T99" s="8"/>
      <c r="U99" s="10"/>
      <c r="V99" s="8"/>
      <c r="W99" s="8"/>
      <c r="X99" s="8"/>
      <c r="Y99" s="8"/>
      <c r="Z99" s="9"/>
      <c r="AA99" s="8"/>
      <c r="AB99" s="10"/>
      <c r="AC99" s="8"/>
      <c r="AD99" s="8"/>
      <c r="AE99" s="8"/>
      <c r="AF99" s="8"/>
      <c r="AG99" s="9"/>
      <c r="AH99" s="8"/>
      <c r="AI99" s="10"/>
      <c r="AJ99" s="8"/>
      <c r="AK99" s="8"/>
      <c r="AL99" s="8"/>
      <c r="AM99" s="8"/>
      <c r="AN99" s="9"/>
      <c r="AO99" s="8"/>
      <c r="AP99" s="10"/>
      <c r="AQ99" s="8"/>
      <c r="AR99" s="8"/>
      <c r="AS99" s="8"/>
      <c r="AT99" s="8"/>
      <c r="AU99" s="9"/>
      <c r="AV99" s="8"/>
      <c r="AW99" s="10"/>
      <c r="AX99" s="8"/>
      <c r="AY99" s="8"/>
      <c r="AZ99" s="8"/>
      <c r="BA99" s="8"/>
      <c r="BB99" s="9"/>
      <c r="BC99" s="8"/>
      <c r="BD99" s="10"/>
      <c r="BE99" s="8"/>
      <c r="BF99" s="8"/>
      <c r="BG99" s="8"/>
      <c r="BH99" s="9"/>
      <c r="BI99" s="8"/>
      <c r="BJ99" s="10"/>
      <c r="BK99" s="8"/>
      <c r="BL99" s="8"/>
      <c r="BM99" s="8"/>
      <c r="BN99" s="8"/>
      <c r="BO99" s="9"/>
      <c r="BP99" s="8"/>
      <c r="BQ99" s="10"/>
      <c r="BR99" s="8"/>
      <c r="BS99" s="8"/>
      <c r="BT99" s="8"/>
      <c r="BU99" s="8"/>
      <c r="BV99" s="9"/>
      <c r="BW99" s="8"/>
      <c r="BX99" s="10"/>
      <c r="BY99" s="8"/>
      <c r="BZ99" s="8"/>
      <c r="CA99" s="8"/>
      <c r="CB99" s="8"/>
      <c r="CC99" s="9"/>
      <c r="CD99" s="8"/>
      <c r="CE99" s="10"/>
      <c r="CF99" s="8"/>
      <c r="CG99" s="8"/>
      <c r="CH99" s="8"/>
      <c r="CI99" s="8"/>
      <c r="CJ99" s="9"/>
      <c r="CK99" s="8"/>
      <c r="CL99" s="10"/>
      <c r="CM99" s="8"/>
      <c r="CN99" s="8"/>
      <c r="CO99" s="8"/>
      <c r="CP99" s="8"/>
      <c r="CQ99" s="9"/>
      <c r="CR99" s="8"/>
      <c r="CS99" s="10"/>
      <c r="CT99" s="8"/>
      <c r="CU99" s="8"/>
      <c r="CV99" s="8"/>
      <c r="CW99" s="8"/>
      <c r="CX99" s="9"/>
      <c r="CY99" s="8"/>
      <c r="CZ99" s="10"/>
      <c r="DA99" s="8"/>
    </row>
    <row r="100" spans="1:105" ht="12.75">
      <c r="A100" s="19" t="s">
        <v>125</v>
      </c>
      <c r="B100" s="8"/>
      <c r="C100" s="8"/>
      <c r="D100" s="8"/>
      <c r="E100" s="10"/>
      <c r="F100" s="8"/>
      <c r="G100" s="10"/>
      <c r="H100" s="10"/>
      <c r="I100" s="19" t="s">
        <v>125</v>
      </c>
      <c r="J100" s="8"/>
      <c r="K100" s="8"/>
      <c r="L100" s="8"/>
      <c r="M100" s="10"/>
      <c r="N100" s="8"/>
      <c r="O100" s="10"/>
      <c r="P100" s="19" t="s">
        <v>125</v>
      </c>
      <c r="Q100" s="8"/>
      <c r="R100" s="8"/>
      <c r="S100" s="8"/>
      <c r="T100" s="10"/>
      <c r="U100" s="8"/>
      <c r="V100" s="10"/>
      <c r="W100" s="19" t="s">
        <v>125</v>
      </c>
      <c r="X100" s="8"/>
      <c r="Y100" s="8"/>
      <c r="Z100" s="8"/>
      <c r="AA100" s="10"/>
      <c r="AB100" s="8"/>
      <c r="AC100" s="10"/>
      <c r="AD100" s="19" t="s">
        <v>125</v>
      </c>
      <c r="AE100" s="8"/>
      <c r="AF100" s="8"/>
      <c r="AG100" s="8"/>
      <c r="AH100" s="10"/>
      <c r="AI100" s="8"/>
      <c r="AJ100" s="10"/>
      <c r="AK100" s="19" t="s">
        <v>125</v>
      </c>
      <c r="AL100" s="8"/>
      <c r="AM100" s="8"/>
      <c r="AN100" s="8"/>
      <c r="AO100" s="10"/>
      <c r="AP100" s="8"/>
      <c r="AQ100" s="10"/>
      <c r="AR100" s="19" t="s">
        <v>125</v>
      </c>
      <c r="AS100" s="8"/>
      <c r="AT100" s="8"/>
      <c r="AU100" s="8"/>
      <c r="AV100" s="10"/>
      <c r="AW100" s="8"/>
      <c r="AX100" s="10"/>
      <c r="AY100" s="19" t="s">
        <v>125</v>
      </c>
      <c r="AZ100" s="8"/>
      <c r="BA100" s="8"/>
      <c r="BB100" s="8"/>
      <c r="BC100" s="10"/>
      <c r="BD100" s="8"/>
      <c r="BE100" s="19" t="s">
        <v>125</v>
      </c>
      <c r="BF100" s="8"/>
      <c r="BG100" s="8"/>
      <c r="BH100" s="8"/>
      <c r="BI100" s="10"/>
      <c r="BJ100" s="8"/>
      <c r="BK100" s="10"/>
      <c r="BL100" s="19" t="s">
        <v>125</v>
      </c>
      <c r="BM100" s="8"/>
      <c r="BN100" s="8"/>
      <c r="BO100" s="8"/>
      <c r="BP100" s="10"/>
      <c r="BQ100" s="8"/>
      <c r="BR100" s="10"/>
      <c r="BS100" s="19" t="s">
        <v>125</v>
      </c>
      <c r="BT100" s="8"/>
      <c r="BU100" s="8"/>
      <c r="BV100" s="8"/>
      <c r="BW100" s="10"/>
      <c r="BX100" s="8"/>
      <c r="BY100" s="10"/>
      <c r="BZ100" s="19" t="s">
        <v>125</v>
      </c>
      <c r="CA100" s="8"/>
      <c r="CB100" s="8"/>
      <c r="CC100" s="8"/>
      <c r="CD100" s="10"/>
      <c r="CE100" s="8"/>
      <c r="CF100" s="10"/>
      <c r="CG100" s="19" t="s">
        <v>125</v>
      </c>
      <c r="CH100" s="8"/>
      <c r="CI100" s="8"/>
      <c r="CJ100" s="8"/>
      <c r="CK100" s="10"/>
      <c r="CL100" s="8"/>
      <c r="CM100" s="10"/>
      <c r="CN100" s="19" t="s">
        <v>125</v>
      </c>
      <c r="CO100" s="8"/>
      <c r="CP100" s="8"/>
      <c r="CQ100" s="8"/>
      <c r="CR100" s="10"/>
      <c r="CS100" s="8"/>
      <c r="CT100" s="10"/>
      <c r="CU100" s="19" t="s">
        <v>125</v>
      </c>
      <c r="CV100" s="8"/>
      <c r="CW100" s="8"/>
      <c r="CX100" s="8"/>
      <c r="CY100" s="10"/>
      <c r="CZ100" s="8"/>
      <c r="DA100" s="10"/>
    </row>
    <row r="101" spans="1:105" ht="12.75">
      <c r="A101" s="19"/>
      <c r="B101" s="8"/>
      <c r="C101" s="8"/>
      <c r="D101" s="8"/>
      <c r="E101" s="10"/>
      <c r="F101" s="8"/>
      <c r="G101" s="10"/>
      <c r="H101" s="10"/>
      <c r="I101" s="19"/>
      <c r="J101" s="8"/>
      <c r="K101" s="8"/>
      <c r="L101" s="8"/>
      <c r="M101" s="10"/>
      <c r="N101" s="8"/>
      <c r="O101" s="10"/>
      <c r="P101" s="19"/>
      <c r="Q101" s="8"/>
      <c r="R101" s="8"/>
      <c r="S101" s="8"/>
      <c r="T101" s="10"/>
      <c r="U101" s="8"/>
      <c r="V101" s="10"/>
      <c r="W101" s="19"/>
      <c r="X101" s="8"/>
      <c r="Y101" s="8"/>
      <c r="Z101" s="8"/>
      <c r="AA101" s="10"/>
      <c r="AB101" s="8"/>
      <c r="AC101" s="10"/>
      <c r="AD101" s="19"/>
      <c r="AE101" s="8"/>
      <c r="AF101" s="8"/>
      <c r="AG101" s="8"/>
      <c r="AH101" s="10"/>
      <c r="AI101" s="8"/>
      <c r="AJ101" s="10"/>
      <c r="AK101" s="19"/>
      <c r="AL101" s="8"/>
      <c r="AM101" s="8"/>
      <c r="AN101" s="8"/>
      <c r="AO101" s="10"/>
      <c r="AP101" s="8"/>
      <c r="AQ101" s="10"/>
      <c r="AR101" s="19"/>
      <c r="AS101" s="8"/>
      <c r="AT101" s="8"/>
      <c r="AU101" s="8"/>
      <c r="AV101" s="10"/>
      <c r="AW101" s="8"/>
      <c r="AX101" s="10"/>
      <c r="AY101" s="19"/>
      <c r="AZ101" s="8"/>
      <c r="BA101" s="8"/>
      <c r="BB101" s="8"/>
      <c r="BC101" s="10"/>
      <c r="BD101" s="8"/>
      <c r="BE101" s="19"/>
      <c r="BF101" s="8"/>
      <c r="BG101" s="8"/>
      <c r="BH101" s="8"/>
      <c r="BI101" s="10"/>
      <c r="BJ101" s="8"/>
      <c r="BK101" s="10"/>
      <c r="BL101" s="19"/>
      <c r="BM101" s="8"/>
      <c r="BN101" s="8"/>
      <c r="BO101" s="8"/>
      <c r="BP101" s="10"/>
      <c r="BQ101" s="8"/>
      <c r="BR101" s="10"/>
      <c r="BS101" s="19"/>
      <c r="BT101" s="8"/>
      <c r="BU101" s="8"/>
      <c r="BV101" s="8"/>
      <c r="BW101" s="10"/>
      <c r="BX101" s="8"/>
      <c r="BY101" s="10"/>
      <c r="BZ101" s="19"/>
      <c r="CA101" s="8"/>
      <c r="CB101" s="8"/>
      <c r="CC101" s="8"/>
      <c r="CD101" s="10"/>
      <c r="CE101" s="8"/>
      <c r="CF101" s="10"/>
      <c r="CG101" s="19"/>
      <c r="CH101" s="8"/>
      <c r="CI101" s="8"/>
      <c r="CJ101" s="8"/>
      <c r="CK101" s="10"/>
      <c r="CL101" s="8"/>
      <c r="CM101" s="10"/>
      <c r="CN101" s="19"/>
      <c r="CO101" s="8"/>
      <c r="CP101" s="8"/>
      <c r="CQ101" s="8"/>
      <c r="CR101" s="10"/>
      <c r="CS101" s="8"/>
      <c r="CT101" s="10"/>
      <c r="CU101" s="19"/>
      <c r="CV101" s="8"/>
      <c r="CW101" s="8"/>
      <c r="CX101" s="8"/>
      <c r="CY101" s="10"/>
      <c r="CZ101" s="8"/>
      <c r="DA101" s="10"/>
    </row>
    <row r="102" spans="1:105" s="29" customFormat="1" ht="12.75">
      <c r="A102" s="25"/>
      <c r="B102" s="26"/>
      <c r="C102" s="26"/>
      <c r="D102" s="27" t="s">
        <v>99</v>
      </c>
      <c r="E102" s="26" t="s">
        <v>100</v>
      </c>
      <c r="F102" s="28" t="s">
        <v>101</v>
      </c>
      <c r="G102" s="26" t="s">
        <v>100</v>
      </c>
      <c r="H102" s="26"/>
      <c r="I102" s="27" t="s">
        <v>99</v>
      </c>
      <c r="J102" s="26" t="s">
        <v>100</v>
      </c>
      <c r="K102" s="28" t="s">
        <v>101</v>
      </c>
      <c r="L102" s="26" t="s">
        <v>100</v>
      </c>
      <c r="M102" s="64"/>
      <c r="N102" s="65"/>
      <c r="O102" s="64"/>
      <c r="P102" s="27" t="s">
        <v>99</v>
      </c>
      <c r="Q102" s="26" t="s">
        <v>100</v>
      </c>
      <c r="R102" s="28" t="s">
        <v>101</v>
      </c>
      <c r="S102" s="26" t="s">
        <v>100</v>
      </c>
      <c r="T102" s="64"/>
      <c r="U102" s="65"/>
      <c r="V102" s="64"/>
      <c r="W102" s="27" t="s">
        <v>99</v>
      </c>
      <c r="X102" s="26" t="s">
        <v>100</v>
      </c>
      <c r="Y102" s="28" t="s">
        <v>101</v>
      </c>
      <c r="Z102" s="26" t="s">
        <v>100</v>
      </c>
      <c r="AA102" s="64"/>
      <c r="AB102" s="65"/>
      <c r="AC102" s="64"/>
      <c r="AD102" s="27" t="s">
        <v>99</v>
      </c>
      <c r="AE102" s="26" t="s">
        <v>100</v>
      </c>
      <c r="AF102" s="28" t="s">
        <v>101</v>
      </c>
      <c r="AG102" s="26" t="s">
        <v>100</v>
      </c>
      <c r="AH102" s="64"/>
      <c r="AI102" s="65"/>
      <c r="AJ102" s="64"/>
      <c r="AK102" s="27" t="s">
        <v>99</v>
      </c>
      <c r="AL102" s="26" t="s">
        <v>100</v>
      </c>
      <c r="AM102" s="28" t="s">
        <v>101</v>
      </c>
      <c r="AN102" s="26" t="s">
        <v>100</v>
      </c>
      <c r="AO102" s="64"/>
      <c r="AP102" s="65"/>
      <c r="AQ102" s="64"/>
      <c r="AR102" s="27" t="s">
        <v>99</v>
      </c>
      <c r="AS102" s="26" t="s">
        <v>100</v>
      </c>
      <c r="AT102" s="28" t="s">
        <v>101</v>
      </c>
      <c r="AU102" s="26" t="s">
        <v>100</v>
      </c>
      <c r="AV102" s="64"/>
      <c r="AW102" s="65"/>
      <c r="AX102" s="64"/>
      <c r="AY102" s="89" t="s">
        <v>99</v>
      </c>
      <c r="AZ102" s="44" t="s">
        <v>100</v>
      </c>
      <c r="BA102" s="88" t="s">
        <v>101</v>
      </c>
      <c r="BB102" s="44" t="s">
        <v>100</v>
      </c>
      <c r="BC102" s="64"/>
      <c r="BD102" s="65"/>
      <c r="BE102" s="89" t="s">
        <v>99</v>
      </c>
      <c r="BF102" s="44" t="s">
        <v>100</v>
      </c>
      <c r="BG102" s="88" t="s">
        <v>101</v>
      </c>
      <c r="BH102" s="44" t="s">
        <v>100</v>
      </c>
      <c r="BI102" s="64"/>
      <c r="BJ102" s="65"/>
      <c r="BK102" s="64"/>
      <c r="BL102" s="89" t="s">
        <v>99</v>
      </c>
      <c r="BM102" s="44" t="s">
        <v>100</v>
      </c>
      <c r="BN102" s="88" t="s">
        <v>101</v>
      </c>
      <c r="BO102" s="44" t="s">
        <v>100</v>
      </c>
      <c r="BP102" s="64"/>
      <c r="BQ102" s="65"/>
      <c r="BR102" s="64"/>
      <c r="BS102" s="89" t="s">
        <v>99</v>
      </c>
      <c r="BT102" s="44" t="s">
        <v>100</v>
      </c>
      <c r="BU102" s="88" t="s">
        <v>101</v>
      </c>
      <c r="BV102" s="44" t="s">
        <v>100</v>
      </c>
      <c r="BW102" s="64"/>
      <c r="BX102" s="65"/>
      <c r="BY102" s="64"/>
      <c r="BZ102" s="89" t="s">
        <v>99</v>
      </c>
      <c r="CA102" s="44" t="s">
        <v>100</v>
      </c>
      <c r="CB102" s="88" t="s">
        <v>101</v>
      </c>
      <c r="CC102" s="44" t="s">
        <v>100</v>
      </c>
      <c r="CD102" s="64"/>
      <c r="CE102" s="65"/>
      <c r="CF102" s="64"/>
      <c r="CG102" s="89" t="s">
        <v>99</v>
      </c>
      <c r="CH102" s="44" t="s">
        <v>100</v>
      </c>
      <c r="CI102" s="88" t="s">
        <v>101</v>
      </c>
      <c r="CJ102" s="44" t="s">
        <v>100</v>
      </c>
      <c r="CK102" s="64"/>
      <c r="CL102" s="65"/>
      <c r="CM102" s="64"/>
      <c r="CN102" s="89" t="s">
        <v>99</v>
      </c>
      <c r="CO102" s="44" t="s">
        <v>100</v>
      </c>
      <c r="CP102" s="88" t="s">
        <v>101</v>
      </c>
      <c r="CQ102" s="44" t="s">
        <v>100</v>
      </c>
      <c r="CR102" s="64"/>
      <c r="CS102" s="65"/>
      <c r="CT102" s="64"/>
      <c r="CU102" s="89" t="s">
        <v>99</v>
      </c>
      <c r="CV102" s="44" t="s">
        <v>100</v>
      </c>
      <c r="CW102" s="88" t="s">
        <v>101</v>
      </c>
      <c r="CX102" s="44" t="s">
        <v>100</v>
      </c>
      <c r="CY102" s="64"/>
      <c r="CZ102" s="65"/>
      <c r="DA102" s="64"/>
    </row>
    <row r="103" spans="1:105" ht="12.75">
      <c r="A103" s="12"/>
      <c r="B103" s="8"/>
      <c r="C103" s="8"/>
      <c r="D103" s="10"/>
      <c r="E103" s="8"/>
      <c r="F103" s="10"/>
      <c r="G103" s="8"/>
      <c r="H103" s="8"/>
      <c r="I103" s="10"/>
      <c r="J103" s="8"/>
      <c r="K103" s="10"/>
      <c r="L103" s="8"/>
      <c r="M103" s="54"/>
      <c r="N103" s="55"/>
      <c r="O103" s="54"/>
      <c r="P103" s="10"/>
      <c r="Q103" s="8"/>
      <c r="R103" s="10"/>
      <c r="S103" s="8"/>
      <c r="T103" s="54"/>
      <c r="U103" s="55"/>
      <c r="V103" s="54"/>
      <c r="W103" s="10"/>
      <c r="X103" s="8"/>
      <c r="Y103" s="10"/>
      <c r="Z103" s="8"/>
      <c r="AA103" s="54"/>
      <c r="AB103" s="55"/>
      <c r="AC103" s="54"/>
      <c r="AD103" s="10"/>
      <c r="AE103" s="8"/>
      <c r="AF103" s="10"/>
      <c r="AG103" s="8"/>
      <c r="AH103" s="54"/>
      <c r="AI103" s="55"/>
      <c r="AJ103" s="54"/>
      <c r="AK103" s="10"/>
      <c r="AL103" s="8"/>
      <c r="AM103" s="10"/>
      <c r="AN103" s="8"/>
      <c r="AO103" s="54"/>
      <c r="AP103" s="55"/>
      <c r="AQ103" s="54"/>
      <c r="AR103" s="10"/>
      <c r="AS103" s="8"/>
      <c r="AT103" s="10"/>
      <c r="AU103" s="8"/>
      <c r="AV103" s="54"/>
      <c r="AW103" s="55"/>
      <c r="AX103" s="54"/>
      <c r="AY103" s="10"/>
      <c r="AZ103" s="8"/>
      <c r="BA103" s="10"/>
      <c r="BB103" s="8"/>
      <c r="BC103" s="54"/>
      <c r="BD103" s="55"/>
      <c r="BE103" s="10"/>
      <c r="BF103" s="8"/>
      <c r="BG103" s="10"/>
      <c r="BH103" s="8"/>
      <c r="BI103" s="54"/>
      <c r="BJ103" s="55"/>
      <c r="BK103" s="54"/>
      <c r="BL103" s="10"/>
      <c r="BM103" s="8"/>
      <c r="BN103" s="10"/>
      <c r="BO103" s="8"/>
      <c r="BP103" s="54"/>
      <c r="BQ103" s="55"/>
      <c r="BR103" s="54"/>
      <c r="BS103" s="10"/>
      <c r="BT103" s="8"/>
      <c r="BU103" s="10"/>
      <c r="BV103" s="8"/>
      <c r="BW103" s="54"/>
      <c r="BX103" s="55"/>
      <c r="BY103" s="54"/>
      <c r="BZ103" s="10"/>
      <c r="CA103" s="8"/>
      <c r="CB103" s="10"/>
      <c r="CC103" s="8"/>
      <c r="CD103" s="54"/>
      <c r="CE103" s="55"/>
      <c r="CF103" s="54"/>
      <c r="CG103" s="10"/>
      <c r="CH103" s="8"/>
      <c r="CI103" s="10"/>
      <c r="CJ103" s="8"/>
      <c r="CK103" s="54"/>
      <c r="CL103" s="55"/>
      <c r="CM103" s="54"/>
      <c r="CN103" s="10"/>
      <c r="CO103" s="8"/>
      <c r="CP103" s="10"/>
      <c r="CQ103" s="8"/>
      <c r="CR103" s="54"/>
      <c r="CS103" s="55"/>
      <c r="CT103" s="54"/>
      <c r="CU103" s="10"/>
      <c r="CV103" s="8"/>
      <c r="CW103" s="10"/>
      <c r="CX103" s="8"/>
      <c r="CY103" s="54"/>
      <c r="CZ103" s="55"/>
      <c r="DA103" s="54"/>
    </row>
    <row r="104" spans="1:105" ht="12.75">
      <c r="A104" s="24">
        <v>1996</v>
      </c>
      <c r="B104" s="8"/>
      <c r="C104" s="8"/>
      <c r="D104" s="9">
        <v>0</v>
      </c>
      <c r="E104" s="14">
        <f>+D104/D114</f>
        <v>0</v>
      </c>
      <c r="F104" s="10">
        <v>0</v>
      </c>
      <c r="G104" s="14">
        <v>0</v>
      </c>
      <c r="H104" s="14"/>
      <c r="I104" s="9">
        <v>0</v>
      </c>
      <c r="J104" s="14">
        <f>+I104/I114</f>
        <v>0</v>
      </c>
      <c r="K104" s="10">
        <v>0</v>
      </c>
      <c r="L104" s="14">
        <f>+K104/K114</f>
        <v>0</v>
      </c>
      <c r="M104" s="56"/>
      <c r="N104" s="55"/>
      <c r="O104" s="56"/>
      <c r="P104" s="9">
        <v>0</v>
      </c>
      <c r="Q104" s="14">
        <v>0</v>
      </c>
      <c r="R104" s="10">
        <v>0</v>
      </c>
      <c r="S104" s="14">
        <v>0</v>
      </c>
      <c r="T104" s="56"/>
      <c r="U104" s="55"/>
      <c r="V104" s="56"/>
      <c r="W104" s="9">
        <v>0</v>
      </c>
      <c r="X104" s="14">
        <v>0</v>
      </c>
      <c r="Y104" s="10">
        <v>0</v>
      </c>
      <c r="Z104" s="14">
        <v>0</v>
      </c>
      <c r="AA104" s="56"/>
      <c r="AB104" s="55"/>
      <c r="AC104" s="56"/>
      <c r="AD104" s="9">
        <v>0</v>
      </c>
      <c r="AE104" s="14">
        <v>0</v>
      </c>
      <c r="AF104" s="10">
        <v>0</v>
      </c>
      <c r="AG104" s="14">
        <v>0</v>
      </c>
      <c r="AH104" s="56"/>
      <c r="AI104" s="55"/>
      <c r="AJ104" s="56"/>
      <c r="AK104" s="9">
        <v>0</v>
      </c>
      <c r="AL104" s="14">
        <v>0</v>
      </c>
      <c r="AM104" s="10">
        <v>0</v>
      </c>
      <c r="AN104" s="14">
        <v>0</v>
      </c>
      <c r="AO104" s="56"/>
      <c r="AP104" s="55"/>
      <c r="AQ104" s="56"/>
      <c r="AR104" s="9">
        <v>0</v>
      </c>
      <c r="AS104" s="14">
        <v>0</v>
      </c>
      <c r="AT104" s="10">
        <v>0</v>
      </c>
      <c r="AU104" s="14">
        <v>0</v>
      </c>
      <c r="AV104" s="56"/>
      <c r="AW104" s="55"/>
      <c r="AX104" s="56"/>
      <c r="AY104" s="9">
        <v>0</v>
      </c>
      <c r="AZ104" s="14">
        <v>0</v>
      </c>
      <c r="BA104" s="10">
        <v>0</v>
      </c>
      <c r="BB104" s="14">
        <v>0</v>
      </c>
      <c r="BC104" s="56"/>
      <c r="BD104" s="55"/>
      <c r="BE104" s="9">
        <v>0</v>
      </c>
      <c r="BF104" s="14">
        <v>0</v>
      </c>
      <c r="BG104" s="10">
        <v>0</v>
      </c>
      <c r="BH104" s="14">
        <v>0</v>
      </c>
      <c r="BI104" s="56"/>
      <c r="BJ104" s="55"/>
      <c r="BK104" s="56"/>
      <c r="BL104" s="9">
        <v>0</v>
      </c>
      <c r="BM104" s="14">
        <v>0</v>
      </c>
      <c r="BN104" s="10">
        <v>0</v>
      </c>
      <c r="BO104" s="14">
        <v>0</v>
      </c>
      <c r="BP104" s="56"/>
      <c r="BQ104" s="55"/>
      <c r="BR104" s="56"/>
      <c r="BS104" s="9">
        <v>0</v>
      </c>
      <c r="BT104" s="14">
        <v>0</v>
      </c>
      <c r="BU104" s="10">
        <v>0</v>
      </c>
      <c r="BV104" s="14">
        <v>0</v>
      </c>
      <c r="BW104" s="56"/>
      <c r="BX104" s="55"/>
      <c r="BY104" s="56"/>
      <c r="BZ104" s="9">
        <v>0</v>
      </c>
      <c r="CA104" s="14">
        <v>0</v>
      </c>
      <c r="CB104" s="10">
        <v>0</v>
      </c>
      <c r="CC104" s="14">
        <v>0</v>
      </c>
      <c r="CD104" s="56"/>
      <c r="CE104" s="55"/>
      <c r="CF104" s="56"/>
      <c r="CG104" s="9">
        <v>0</v>
      </c>
      <c r="CH104" s="14">
        <v>0</v>
      </c>
      <c r="CI104" s="10">
        <v>0</v>
      </c>
      <c r="CJ104" s="14">
        <v>0</v>
      </c>
      <c r="CK104" s="56"/>
      <c r="CL104" s="55"/>
      <c r="CM104" s="56"/>
      <c r="CN104" s="9">
        <v>0</v>
      </c>
      <c r="CO104" s="14">
        <v>0</v>
      </c>
      <c r="CP104" s="10">
        <v>0</v>
      </c>
      <c r="CQ104" s="14">
        <v>0</v>
      </c>
      <c r="CR104" s="56"/>
      <c r="CS104" s="55"/>
      <c r="CT104" s="56"/>
      <c r="CU104" s="9">
        <v>0</v>
      </c>
      <c r="CV104" s="14">
        <v>0</v>
      </c>
      <c r="CW104" s="10">
        <v>0</v>
      </c>
      <c r="CX104" s="14">
        <v>0</v>
      </c>
      <c r="CY104" s="56"/>
      <c r="CZ104" s="55"/>
      <c r="DA104" s="56"/>
    </row>
    <row r="105" spans="1:105" ht="12.75">
      <c r="A105" s="24">
        <v>1997</v>
      </c>
      <c r="B105" s="8"/>
      <c r="C105" s="8"/>
      <c r="D105" s="9">
        <v>0</v>
      </c>
      <c r="E105" s="14">
        <f>+D105/D108</f>
        <v>0</v>
      </c>
      <c r="F105" s="10">
        <v>0</v>
      </c>
      <c r="G105" s="14">
        <v>0</v>
      </c>
      <c r="H105" s="14"/>
      <c r="I105" s="9">
        <v>0</v>
      </c>
      <c r="J105" s="14">
        <f>+I105/$I$114</f>
        <v>0</v>
      </c>
      <c r="K105" s="10">
        <v>0</v>
      </c>
      <c r="L105" s="14">
        <f>+K105/$K$114</f>
        <v>0</v>
      </c>
      <c r="M105" s="56"/>
      <c r="N105" s="55"/>
      <c r="O105" s="56"/>
      <c r="P105" s="9">
        <v>0</v>
      </c>
      <c r="Q105" s="14">
        <v>0</v>
      </c>
      <c r="R105" s="10">
        <v>0</v>
      </c>
      <c r="S105" s="14">
        <v>0</v>
      </c>
      <c r="T105" s="56"/>
      <c r="U105" s="55"/>
      <c r="V105" s="56"/>
      <c r="W105" s="9">
        <v>0</v>
      </c>
      <c r="X105" s="14">
        <v>0</v>
      </c>
      <c r="Y105" s="10">
        <v>0</v>
      </c>
      <c r="Z105" s="14">
        <v>0</v>
      </c>
      <c r="AA105" s="56"/>
      <c r="AB105" s="55"/>
      <c r="AC105" s="56"/>
      <c r="AD105" s="9">
        <v>0</v>
      </c>
      <c r="AE105" s="14">
        <v>0</v>
      </c>
      <c r="AF105" s="10">
        <v>0</v>
      </c>
      <c r="AG105" s="14">
        <v>0</v>
      </c>
      <c r="AH105" s="56"/>
      <c r="AI105" s="55"/>
      <c r="AJ105" s="56"/>
      <c r="AK105" s="9">
        <v>0</v>
      </c>
      <c r="AL105" s="14">
        <v>0</v>
      </c>
      <c r="AM105" s="10">
        <v>0</v>
      </c>
      <c r="AN105" s="14">
        <v>0</v>
      </c>
      <c r="AO105" s="56"/>
      <c r="AP105" s="55"/>
      <c r="AQ105" s="56"/>
      <c r="AR105" s="9">
        <v>0</v>
      </c>
      <c r="AS105" s="14">
        <v>0</v>
      </c>
      <c r="AT105" s="10">
        <v>0</v>
      </c>
      <c r="AU105" s="14">
        <v>0</v>
      </c>
      <c r="AV105" s="56"/>
      <c r="AW105" s="55"/>
      <c r="AX105" s="56"/>
      <c r="AY105" s="9">
        <v>0</v>
      </c>
      <c r="AZ105" s="14">
        <v>0</v>
      </c>
      <c r="BA105" s="10">
        <v>0</v>
      </c>
      <c r="BB105" s="14">
        <v>0</v>
      </c>
      <c r="BC105" s="56"/>
      <c r="BD105" s="55"/>
      <c r="BE105" s="9">
        <v>0</v>
      </c>
      <c r="BF105" s="14">
        <v>0</v>
      </c>
      <c r="BG105" s="10">
        <v>0</v>
      </c>
      <c r="BH105" s="14">
        <v>0</v>
      </c>
      <c r="BI105" s="56"/>
      <c r="BJ105" s="55"/>
      <c r="BK105" s="56"/>
      <c r="BL105" s="9">
        <v>0</v>
      </c>
      <c r="BM105" s="14">
        <v>0</v>
      </c>
      <c r="BN105" s="10">
        <v>0</v>
      </c>
      <c r="BO105" s="14">
        <v>0</v>
      </c>
      <c r="BP105" s="56"/>
      <c r="BQ105" s="55"/>
      <c r="BR105" s="56"/>
      <c r="BS105" s="9">
        <v>0</v>
      </c>
      <c r="BT105" s="14">
        <v>0</v>
      </c>
      <c r="BU105" s="10">
        <v>0</v>
      </c>
      <c r="BV105" s="14">
        <v>0</v>
      </c>
      <c r="BW105" s="56"/>
      <c r="BX105" s="55"/>
      <c r="BY105" s="56"/>
      <c r="BZ105" s="9">
        <v>0</v>
      </c>
      <c r="CA105" s="14">
        <v>0</v>
      </c>
      <c r="CB105" s="10">
        <v>0</v>
      </c>
      <c r="CC105" s="14">
        <v>0</v>
      </c>
      <c r="CD105" s="56"/>
      <c r="CE105" s="55"/>
      <c r="CF105" s="56"/>
      <c r="CG105" s="9">
        <v>0</v>
      </c>
      <c r="CH105" s="14">
        <v>0</v>
      </c>
      <c r="CI105" s="10">
        <v>0</v>
      </c>
      <c r="CJ105" s="14">
        <v>0</v>
      </c>
      <c r="CK105" s="56"/>
      <c r="CL105" s="55"/>
      <c r="CM105" s="56"/>
      <c r="CN105" s="9">
        <v>0</v>
      </c>
      <c r="CO105" s="14">
        <v>0</v>
      </c>
      <c r="CP105" s="10">
        <v>0</v>
      </c>
      <c r="CQ105" s="14">
        <v>0</v>
      </c>
      <c r="CR105" s="56"/>
      <c r="CS105" s="55"/>
      <c r="CT105" s="56"/>
      <c r="CU105" s="9">
        <v>0</v>
      </c>
      <c r="CV105" s="14">
        <v>0</v>
      </c>
      <c r="CW105" s="10">
        <v>0</v>
      </c>
      <c r="CX105" s="14">
        <v>0</v>
      </c>
      <c r="CY105" s="56"/>
      <c r="CZ105" s="55"/>
      <c r="DA105" s="56"/>
    </row>
    <row r="106" spans="1:105" ht="12.75">
      <c r="A106" s="24">
        <v>1998</v>
      </c>
      <c r="B106" s="8"/>
      <c r="C106" s="8"/>
      <c r="D106" s="9">
        <v>0</v>
      </c>
      <c r="E106" s="14">
        <f>+D106/D109</f>
        <v>0</v>
      </c>
      <c r="F106" s="10">
        <v>0</v>
      </c>
      <c r="G106" s="14">
        <v>0</v>
      </c>
      <c r="H106" s="14"/>
      <c r="I106" s="9">
        <v>0</v>
      </c>
      <c r="J106" s="14">
        <f>+I106/$I$114</f>
        <v>0</v>
      </c>
      <c r="K106" s="10">
        <v>0</v>
      </c>
      <c r="L106" s="14">
        <f>+K106/$K$114</f>
        <v>0</v>
      </c>
      <c r="M106" s="56"/>
      <c r="N106" s="55"/>
      <c r="O106" s="56"/>
      <c r="P106" s="9">
        <v>0</v>
      </c>
      <c r="Q106" s="14">
        <v>0</v>
      </c>
      <c r="R106" s="10">
        <v>0</v>
      </c>
      <c r="S106" s="14">
        <v>0</v>
      </c>
      <c r="T106" s="56"/>
      <c r="U106" s="55"/>
      <c r="V106" s="56"/>
      <c r="W106" s="9">
        <v>0</v>
      </c>
      <c r="X106" s="14">
        <v>0</v>
      </c>
      <c r="Y106" s="10">
        <v>0</v>
      </c>
      <c r="Z106" s="14">
        <v>0</v>
      </c>
      <c r="AA106" s="56"/>
      <c r="AB106" s="55"/>
      <c r="AC106" s="56"/>
      <c r="AD106" s="9">
        <v>0</v>
      </c>
      <c r="AE106" s="14">
        <v>0</v>
      </c>
      <c r="AF106" s="10">
        <v>0</v>
      </c>
      <c r="AG106" s="14">
        <v>0</v>
      </c>
      <c r="AH106" s="56"/>
      <c r="AI106" s="55"/>
      <c r="AJ106" s="56"/>
      <c r="AK106" s="9">
        <v>0</v>
      </c>
      <c r="AL106" s="14">
        <v>0</v>
      </c>
      <c r="AM106" s="10">
        <v>0</v>
      </c>
      <c r="AN106" s="14">
        <v>0</v>
      </c>
      <c r="AO106" s="56"/>
      <c r="AP106" s="55"/>
      <c r="AQ106" s="56"/>
      <c r="AR106" s="9">
        <v>0</v>
      </c>
      <c r="AS106" s="14">
        <v>0</v>
      </c>
      <c r="AT106" s="10">
        <v>0</v>
      </c>
      <c r="AU106" s="14">
        <v>0</v>
      </c>
      <c r="AV106" s="56"/>
      <c r="AW106" s="55"/>
      <c r="AX106" s="56"/>
      <c r="AY106" s="9">
        <v>0</v>
      </c>
      <c r="AZ106" s="14">
        <v>0</v>
      </c>
      <c r="BA106" s="10">
        <v>0</v>
      </c>
      <c r="BB106" s="14">
        <v>0</v>
      </c>
      <c r="BC106" s="56"/>
      <c r="BD106" s="55"/>
      <c r="BE106" s="9">
        <v>0</v>
      </c>
      <c r="BF106" s="14">
        <v>0</v>
      </c>
      <c r="BG106" s="10">
        <v>0</v>
      </c>
      <c r="BH106" s="14">
        <v>0</v>
      </c>
      <c r="BI106" s="56"/>
      <c r="BJ106" s="55"/>
      <c r="BK106" s="56"/>
      <c r="BL106" s="9">
        <v>0</v>
      </c>
      <c r="BM106" s="14">
        <v>0</v>
      </c>
      <c r="BN106" s="10">
        <v>0</v>
      </c>
      <c r="BO106" s="14">
        <v>0</v>
      </c>
      <c r="BP106" s="56"/>
      <c r="BQ106" s="55"/>
      <c r="BR106" s="56"/>
      <c r="BS106" s="9">
        <v>0</v>
      </c>
      <c r="BT106" s="14">
        <v>0</v>
      </c>
      <c r="BU106" s="10">
        <v>0</v>
      </c>
      <c r="BV106" s="14">
        <v>0</v>
      </c>
      <c r="BW106" s="56"/>
      <c r="BX106" s="55"/>
      <c r="BY106" s="56"/>
      <c r="BZ106" s="9">
        <v>0</v>
      </c>
      <c r="CA106" s="14">
        <v>0</v>
      </c>
      <c r="CB106" s="10">
        <v>0</v>
      </c>
      <c r="CC106" s="14">
        <v>0</v>
      </c>
      <c r="CD106" s="56"/>
      <c r="CE106" s="55"/>
      <c r="CF106" s="56"/>
      <c r="CG106" s="9">
        <v>0</v>
      </c>
      <c r="CH106" s="14">
        <v>0</v>
      </c>
      <c r="CI106" s="10">
        <v>0</v>
      </c>
      <c r="CJ106" s="14">
        <v>0</v>
      </c>
      <c r="CK106" s="56"/>
      <c r="CL106" s="55"/>
      <c r="CM106" s="56"/>
      <c r="CN106" s="9">
        <v>0</v>
      </c>
      <c r="CO106" s="14">
        <v>0</v>
      </c>
      <c r="CP106" s="10">
        <v>0</v>
      </c>
      <c r="CQ106" s="14">
        <v>0</v>
      </c>
      <c r="CR106" s="56"/>
      <c r="CS106" s="55"/>
      <c r="CT106" s="56"/>
      <c r="CU106" s="9">
        <v>0</v>
      </c>
      <c r="CV106" s="14">
        <v>0</v>
      </c>
      <c r="CW106" s="10">
        <v>0</v>
      </c>
      <c r="CX106" s="14">
        <v>0</v>
      </c>
      <c r="CY106" s="56"/>
      <c r="CZ106" s="55"/>
      <c r="DA106" s="56"/>
    </row>
    <row r="107" spans="1:105" ht="12.75">
      <c r="A107" s="24">
        <v>1999</v>
      </c>
      <c r="B107" s="8"/>
      <c r="C107" s="8"/>
      <c r="D107" s="9">
        <v>0</v>
      </c>
      <c r="E107" s="14">
        <f>+D107/D114</f>
        <v>0</v>
      </c>
      <c r="F107" s="10">
        <v>0</v>
      </c>
      <c r="G107" s="14">
        <v>0</v>
      </c>
      <c r="H107" s="14"/>
      <c r="I107" s="9">
        <v>0</v>
      </c>
      <c r="J107" s="14">
        <f>+I107/$I$114</f>
        <v>0</v>
      </c>
      <c r="K107" s="10">
        <v>0</v>
      </c>
      <c r="L107" s="14">
        <f>+K107/$K$114</f>
        <v>0</v>
      </c>
      <c r="M107" s="56"/>
      <c r="N107" s="55"/>
      <c r="O107" s="56"/>
      <c r="P107" s="9">
        <v>0</v>
      </c>
      <c r="Q107" s="14">
        <v>0</v>
      </c>
      <c r="R107" s="10">
        <v>0</v>
      </c>
      <c r="S107" s="14">
        <v>0</v>
      </c>
      <c r="T107" s="56"/>
      <c r="U107" s="55"/>
      <c r="V107" s="56"/>
      <c r="W107" s="9">
        <v>0</v>
      </c>
      <c r="X107" s="14">
        <v>0</v>
      </c>
      <c r="Y107" s="10">
        <v>0</v>
      </c>
      <c r="Z107" s="14">
        <v>0</v>
      </c>
      <c r="AA107" s="56"/>
      <c r="AB107" s="55"/>
      <c r="AC107" s="56"/>
      <c r="AD107" s="9">
        <v>0</v>
      </c>
      <c r="AE107" s="14">
        <v>0</v>
      </c>
      <c r="AF107" s="10">
        <v>0</v>
      </c>
      <c r="AG107" s="14">
        <v>0</v>
      </c>
      <c r="AH107" s="56"/>
      <c r="AI107" s="55"/>
      <c r="AJ107" s="56"/>
      <c r="AK107" s="9">
        <v>0</v>
      </c>
      <c r="AL107" s="14">
        <v>0</v>
      </c>
      <c r="AM107" s="10">
        <v>0</v>
      </c>
      <c r="AN107" s="14">
        <v>0</v>
      </c>
      <c r="AO107" s="56"/>
      <c r="AP107" s="55"/>
      <c r="AQ107" s="56"/>
      <c r="AR107" s="9">
        <v>0</v>
      </c>
      <c r="AS107" s="14">
        <v>0</v>
      </c>
      <c r="AT107" s="10">
        <v>0</v>
      </c>
      <c r="AU107" s="14">
        <v>0</v>
      </c>
      <c r="AV107" s="56"/>
      <c r="AW107" s="55"/>
      <c r="AX107" s="56"/>
      <c r="AY107" s="9">
        <v>0</v>
      </c>
      <c r="AZ107" s="14">
        <v>0</v>
      </c>
      <c r="BA107" s="10">
        <v>0</v>
      </c>
      <c r="BB107" s="14">
        <v>0</v>
      </c>
      <c r="BC107" s="56"/>
      <c r="BD107" s="55"/>
      <c r="BE107" s="9">
        <v>0</v>
      </c>
      <c r="BF107" s="14">
        <v>0</v>
      </c>
      <c r="BG107" s="10">
        <v>0</v>
      </c>
      <c r="BH107" s="14">
        <v>0</v>
      </c>
      <c r="BI107" s="56"/>
      <c r="BJ107" s="55"/>
      <c r="BK107" s="56"/>
      <c r="BL107" s="9">
        <v>0</v>
      </c>
      <c r="BM107" s="14">
        <v>0</v>
      </c>
      <c r="BN107" s="10">
        <v>0</v>
      </c>
      <c r="BO107" s="14">
        <v>0</v>
      </c>
      <c r="BP107" s="56"/>
      <c r="BQ107" s="55"/>
      <c r="BR107" s="56"/>
      <c r="BS107" s="9">
        <v>0</v>
      </c>
      <c r="BT107" s="14">
        <v>0</v>
      </c>
      <c r="BU107" s="10">
        <v>0</v>
      </c>
      <c r="BV107" s="14">
        <v>0</v>
      </c>
      <c r="BW107" s="56"/>
      <c r="BX107" s="55"/>
      <c r="BY107" s="56"/>
      <c r="BZ107" s="9">
        <v>0</v>
      </c>
      <c r="CA107" s="14">
        <v>0</v>
      </c>
      <c r="CB107" s="10">
        <v>0</v>
      </c>
      <c r="CC107" s="14">
        <v>0</v>
      </c>
      <c r="CD107" s="56"/>
      <c r="CE107" s="55"/>
      <c r="CF107" s="56"/>
      <c r="CG107" s="9">
        <v>0</v>
      </c>
      <c r="CH107" s="14">
        <v>0</v>
      </c>
      <c r="CI107" s="10">
        <v>0</v>
      </c>
      <c r="CJ107" s="14">
        <v>0</v>
      </c>
      <c r="CK107" s="56"/>
      <c r="CL107" s="55"/>
      <c r="CM107" s="56"/>
      <c r="CN107" s="9">
        <v>0</v>
      </c>
      <c r="CO107" s="14">
        <v>0</v>
      </c>
      <c r="CP107" s="10">
        <v>0</v>
      </c>
      <c r="CQ107" s="14">
        <v>0</v>
      </c>
      <c r="CR107" s="56"/>
      <c r="CS107" s="55"/>
      <c r="CT107" s="56"/>
      <c r="CU107" s="9">
        <v>2490.88</v>
      </c>
      <c r="CV107" s="14">
        <v>3.477645288257329E-05</v>
      </c>
      <c r="CW107" s="10">
        <v>17</v>
      </c>
      <c r="CX107" s="14">
        <v>0.0012630953265472917</v>
      </c>
      <c r="CY107" s="56"/>
      <c r="CZ107" s="55"/>
      <c r="DA107" s="56"/>
    </row>
    <row r="108" spans="1:105" ht="12.75">
      <c r="A108" s="24">
        <v>2000</v>
      </c>
      <c r="B108" s="8"/>
      <c r="C108" s="8"/>
      <c r="D108" s="9">
        <v>480629.09</v>
      </c>
      <c r="E108" s="14">
        <f>+D108/D114</f>
        <v>0.018199064464231116</v>
      </c>
      <c r="F108" s="10">
        <v>52</v>
      </c>
      <c r="G108" s="14">
        <f>+F108/F114</f>
        <v>0.014643762320473106</v>
      </c>
      <c r="H108" s="14"/>
      <c r="I108" s="9">
        <v>405088.08</v>
      </c>
      <c r="J108" s="14">
        <f>+I108/$I$114</f>
        <v>0.016648779743771772</v>
      </c>
      <c r="K108" s="10">
        <v>49</v>
      </c>
      <c r="L108" s="14">
        <f>+K108/$K$114</f>
        <v>0.014227642276422764</v>
      </c>
      <c r="M108" s="56"/>
      <c r="N108" s="55"/>
      <c r="O108" s="56"/>
      <c r="P108" s="9">
        <v>376506.17</v>
      </c>
      <c r="Q108" s="14">
        <v>0.009921765766200161</v>
      </c>
      <c r="R108" s="10">
        <v>47</v>
      </c>
      <c r="S108" s="14">
        <v>0.00835407038748667</v>
      </c>
      <c r="T108" s="56"/>
      <c r="U108" s="55"/>
      <c r="V108" s="56"/>
      <c r="W108" s="9">
        <v>341788.81</v>
      </c>
      <c r="X108" s="14">
        <v>0.007327761571094495</v>
      </c>
      <c r="Y108" s="10">
        <v>43</v>
      </c>
      <c r="Z108" s="14">
        <v>0.006085479762241721</v>
      </c>
      <c r="AA108" s="56"/>
      <c r="AB108" s="55"/>
      <c r="AC108" s="56"/>
      <c r="AD108" s="9">
        <v>267503.81</v>
      </c>
      <c r="AE108" s="14">
        <v>0.0053402875554443814</v>
      </c>
      <c r="AF108" s="10">
        <v>39</v>
      </c>
      <c r="AG108" s="14">
        <v>0.004918032786885246</v>
      </c>
      <c r="AH108" s="56"/>
      <c r="AI108" s="55"/>
      <c r="AJ108" s="56"/>
      <c r="AK108" s="9">
        <v>217621.8</v>
      </c>
      <c r="AL108" s="14">
        <v>0.003882020769079234</v>
      </c>
      <c r="AM108" s="10">
        <v>34</v>
      </c>
      <c r="AN108" s="14">
        <v>0.0037627268702965914</v>
      </c>
      <c r="AO108" s="56"/>
      <c r="AP108" s="55"/>
      <c r="AQ108" s="56"/>
      <c r="AR108" s="9">
        <v>162140.14</v>
      </c>
      <c r="AS108" s="14">
        <v>0.0023992918971528377</v>
      </c>
      <c r="AT108" s="10">
        <v>26</v>
      </c>
      <c r="AU108" s="14">
        <v>0.0023508137432188066</v>
      </c>
      <c r="AV108" s="56"/>
      <c r="AW108" s="55"/>
      <c r="AX108" s="56"/>
      <c r="AY108" s="9">
        <v>144846.11</v>
      </c>
      <c r="AZ108" s="14">
        <v>0.0019897594522107786</v>
      </c>
      <c r="BA108" s="10">
        <v>25</v>
      </c>
      <c r="BB108" s="14">
        <v>0.002056259253166639</v>
      </c>
      <c r="BC108" s="56"/>
      <c r="BD108" s="55"/>
      <c r="BE108" s="9">
        <v>124834.91</v>
      </c>
      <c r="BF108" s="14">
        <v>0.0019340399008142219</v>
      </c>
      <c r="BG108" s="10">
        <v>23</v>
      </c>
      <c r="BH108" s="14">
        <v>0.0020754376466341814</v>
      </c>
      <c r="BI108" s="56"/>
      <c r="BJ108" s="55"/>
      <c r="BK108" s="56"/>
      <c r="BL108" s="9">
        <v>98552.06</v>
      </c>
      <c r="BM108" s="14">
        <v>0.001762255705900279</v>
      </c>
      <c r="BN108" s="10">
        <v>19</v>
      </c>
      <c r="BO108" s="14">
        <v>0.0018638414753776732</v>
      </c>
      <c r="BP108" s="56"/>
      <c r="BQ108" s="55"/>
      <c r="BR108" s="56"/>
      <c r="BS108" s="9">
        <v>77177.07</v>
      </c>
      <c r="BT108" s="14">
        <v>0.0014372622627009744</v>
      </c>
      <c r="BU108" s="10">
        <v>16</v>
      </c>
      <c r="BV108" s="14">
        <v>0.0015869867089863122</v>
      </c>
      <c r="BW108" s="56"/>
      <c r="BX108" s="55"/>
      <c r="BY108" s="56"/>
      <c r="BZ108" s="9">
        <v>56738.84</v>
      </c>
      <c r="CA108" s="14">
        <v>0.001070853329939341</v>
      </c>
      <c r="CB108" s="10">
        <v>12</v>
      </c>
      <c r="CC108" s="14">
        <v>0.0012145748987854252</v>
      </c>
      <c r="CD108" s="56"/>
      <c r="CE108" s="55"/>
      <c r="CF108" s="56"/>
      <c r="CG108" s="9">
        <v>51690.31</v>
      </c>
      <c r="CH108" s="14">
        <v>0.00100405644353924</v>
      </c>
      <c r="CI108" s="10">
        <v>12</v>
      </c>
      <c r="CJ108" s="14">
        <v>0.0013651877133105802</v>
      </c>
      <c r="CK108" s="56"/>
      <c r="CL108" s="55"/>
      <c r="CM108" s="56"/>
      <c r="CN108" s="9">
        <v>45523.61</v>
      </c>
      <c r="CO108" s="14">
        <v>0.0009973347691256268</v>
      </c>
      <c r="CP108" s="10">
        <v>11</v>
      </c>
      <c r="CQ108" s="14">
        <v>0.001299161450336601</v>
      </c>
      <c r="CR108" s="56"/>
      <c r="CS108" s="55"/>
      <c r="CT108" s="56"/>
      <c r="CU108" s="9">
        <v>543003.17</v>
      </c>
      <c r="CV108" s="14">
        <v>0.007581145682085424</v>
      </c>
      <c r="CW108" s="10">
        <v>437</v>
      </c>
      <c r="CX108" s="14">
        <v>0.0324689798647745</v>
      </c>
      <c r="CY108" s="56"/>
      <c r="CZ108" s="55"/>
      <c r="DA108" s="56"/>
    </row>
    <row r="109" spans="1:105" ht="12.75">
      <c r="A109" s="24">
        <v>2001</v>
      </c>
      <c r="B109" s="8"/>
      <c r="C109" s="8"/>
      <c r="D109" s="9">
        <v>25928920.20000005</v>
      </c>
      <c r="E109" s="14">
        <f>+D109/D114</f>
        <v>0.9818009355357689</v>
      </c>
      <c r="F109" s="10">
        <v>3499</v>
      </c>
      <c r="G109" s="14">
        <f>+F109/$F$114</f>
        <v>0.9853562376795268</v>
      </c>
      <c r="H109" s="14"/>
      <c r="I109" s="9">
        <v>23926309.54999997</v>
      </c>
      <c r="J109" s="14">
        <f>+I109/$I$114</f>
        <v>0.9833512202562283</v>
      </c>
      <c r="K109" s="10">
        <v>3395</v>
      </c>
      <c r="L109" s="14">
        <f>+K109/$K$114</f>
        <v>0.9857723577235772</v>
      </c>
      <c r="M109" s="56"/>
      <c r="N109" s="55"/>
      <c r="O109" s="56"/>
      <c r="P109" s="9">
        <v>37570990.159999974</v>
      </c>
      <c r="Q109" s="14">
        <v>0.9900782342337998</v>
      </c>
      <c r="R109" s="10">
        <v>5579</v>
      </c>
      <c r="S109" s="14">
        <v>0.9916459296125133</v>
      </c>
      <c r="T109" s="56"/>
      <c r="U109" s="55"/>
      <c r="V109" s="56"/>
      <c r="W109" s="9">
        <v>46301214.879999906</v>
      </c>
      <c r="X109" s="14">
        <v>0.9926722384289055</v>
      </c>
      <c r="Y109" s="10">
        <v>7023</v>
      </c>
      <c r="Z109" s="14">
        <v>0.9939145202377583</v>
      </c>
      <c r="AA109" s="56"/>
      <c r="AB109" s="55"/>
      <c r="AC109" s="56"/>
      <c r="AD109" s="9">
        <v>40648206.8300001</v>
      </c>
      <c r="AE109" s="14">
        <v>0.8114767153610964</v>
      </c>
      <c r="AF109" s="10">
        <v>6608</v>
      </c>
      <c r="AG109" s="14">
        <v>0.8332912988650694</v>
      </c>
      <c r="AH109" s="56"/>
      <c r="AI109" s="55"/>
      <c r="AJ109" s="56"/>
      <c r="AK109" s="9">
        <v>35761271.35999993</v>
      </c>
      <c r="AL109" s="14">
        <v>0.6379232142560998</v>
      </c>
      <c r="AM109" s="10">
        <v>6224</v>
      </c>
      <c r="AN109" s="14">
        <v>0.6888003541389995</v>
      </c>
      <c r="AO109" s="56"/>
      <c r="AP109" s="55"/>
      <c r="AQ109" s="56"/>
      <c r="AR109" s="9">
        <v>31056606.489999987</v>
      </c>
      <c r="AS109" s="14">
        <v>0.4595645736121926</v>
      </c>
      <c r="AT109" s="10">
        <v>5848</v>
      </c>
      <c r="AU109" s="14">
        <v>0.52875226039783</v>
      </c>
      <c r="AV109" s="56"/>
      <c r="AW109" s="55"/>
      <c r="AX109" s="56"/>
      <c r="AY109" s="9">
        <v>26678406.619999908</v>
      </c>
      <c r="AZ109" s="14">
        <v>0.36648282609776284</v>
      </c>
      <c r="BA109" s="10">
        <v>5488</v>
      </c>
      <c r="BB109" s="14">
        <v>0.45139003125514066</v>
      </c>
      <c r="BC109" s="56"/>
      <c r="BD109" s="55"/>
      <c r="BE109" s="9">
        <v>22104977.289999966</v>
      </c>
      <c r="BF109" s="14">
        <v>0.3424675684506213</v>
      </c>
      <c r="BG109" s="10">
        <v>4584</v>
      </c>
      <c r="BH109" s="14">
        <v>0.4136437466161343</v>
      </c>
      <c r="BI109" s="56"/>
      <c r="BJ109" s="55"/>
      <c r="BK109" s="56"/>
      <c r="BL109" s="9">
        <v>18080372.28999996</v>
      </c>
      <c r="BM109" s="14">
        <v>0.32330363498087944</v>
      </c>
      <c r="BN109" s="10">
        <v>4039</v>
      </c>
      <c r="BO109" s="14">
        <v>0.3962134588973906</v>
      </c>
      <c r="BP109" s="56"/>
      <c r="BQ109" s="55"/>
      <c r="BR109" s="56"/>
      <c r="BS109" s="9">
        <v>14279715.760000007</v>
      </c>
      <c r="BT109" s="14">
        <v>0.2659299787351914</v>
      </c>
      <c r="BU109" s="10">
        <v>3448</v>
      </c>
      <c r="BV109" s="14">
        <v>0.3419956357865503</v>
      </c>
      <c r="BW109" s="56"/>
      <c r="BX109" s="55"/>
      <c r="BY109" s="56"/>
      <c r="BZ109" s="9">
        <v>11309862.08000002</v>
      </c>
      <c r="CA109" s="14">
        <v>0.21345525339472404</v>
      </c>
      <c r="CB109" s="10">
        <v>2925</v>
      </c>
      <c r="CC109" s="14">
        <v>0.29605263157894735</v>
      </c>
      <c r="CD109" s="56"/>
      <c r="CE109" s="55"/>
      <c r="CF109" s="56"/>
      <c r="CG109" s="9">
        <v>8188753.38</v>
      </c>
      <c r="CH109" s="14">
        <v>0.15889361595098062</v>
      </c>
      <c r="CI109" s="10">
        <v>2363</v>
      </c>
      <c r="CJ109" s="14">
        <v>0.26871444823663254</v>
      </c>
      <c r="CK109" s="56"/>
      <c r="CL109" s="55"/>
      <c r="CM109" s="56"/>
      <c r="CN109" s="9">
        <v>5896038.100000015</v>
      </c>
      <c r="CO109" s="14">
        <v>0.12917085875262121</v>
      </c>
      <c r="CP109" s="10">
        <v>1934</v>
      </c>
      <c r="CQ109" s="14">
        <v>0.2284162040864533</v>
      </c>
      <c r="CR109" s="56"/>
      <c r="CS109" s="55"/>
      <c r="CT109" s="56"/>
      <c r="CU109" s="9">
        <v>5644741.539999998</v>
      </c>
      <c r="CV109" s="14">
        <v>0.07880913098989678</v>
      </c>
      <c r="CW109" s="10">
        <v>2158</v>
      </c>
      <c r="CX109" s="14">
        <v>0.16033880674641504</v>
      </c>
      <c r="CY109" s="56"/>
      <c r="CZ109" s="55"/>
      <c r="DA109" s="56"/>
    </row>
    <row r="110" spans="1:105" ht="12.75">
      <c r="A110" s="24">
        <v>2002</v>
      </c>
      <c r="B110" s="8"/>
      <c r="C110" s="8"/>
      <c r="D110" s="9"/>
      <c r="E110" s="14"/>
      <c r="F110" s="10"/>
      <c r="G110" s="14"/>
      <c r="H110" s="14"/>
      <c r="I110" s="9"/>
      <c r="J110" s="14"/>
      <c r="K110" s="10"/>
      <c r="L110" s="14"/>
      <c r="M110" s="56"/>
      <c r="N110" s="55"/>
      <c r="O110" s="56"/>
      <c r="P110" s="9"/>
      <c r="Q110" s="14"/>
      <c r="R110" s="10"/>
      <c r="S110" s="14"/>
      <c r="T110" s="56"/>
      <c r="U110" s="55"/>
      <c r="V110" s="56"/>
      <c r="W110" s="9"/>
      <c r="X110" s="14"/>
      <c r="Y110" s="10"/>
      <c r="Z110" s="14"/>
      <c r="AA110" s="56"/>
      <c r="AB110" s="55"/>
      <c r="AC110" s="56"/>
      <c r="AD110" s="9">
        <v>9175938.399999999</v>
      </c>
      <c r="AE110" s="14">
        <v>0.18318299708345914</v>
      </c>
      <c r="AF110" s="10">
        <v>1283</v>
      </c>
      <c r="AG110" s="14">
        <v>0.1617906683480454</v>
      </c>
      <c r="AH110" s="56"/>
      <c r="AI110" s="55"/>
      <c r="AJ110" s="56"/>
      <c r="AK110" s="9">
        <v>20080003.20999996</v>
      </c>
      <c r="AL110" s="14">
        <v>0.3581947649748211</v>
      </c>
      <c r="AM110" s="10">
        <v>2778</v>
      </c>
      <c r="AN110" s="14">
        <v>0.30743691899070386</v>
      </c>
      <c r="AO110" s="56"/>
      <c r="AP110" s="55"/>
      <c r="AQ110" s="56"/>
      <c r="AR110" s="9">
        <v>36359583.53999995</v>
      </c>
      <c r="AS110" s="14">
        <v>0.5380361344906547</v>
      </c>
      <c r="AT110" s="10">
        <v>5186</v>
      </c>
      <c r="AU110" s="14">
        <v>0.46889692585895115</v>
      </c>
      <c r="AV110" s="56"/>
      <c r="AW110" s="55"/>
      <c r="AX110" s="56"/>
      <c r="AY110" s="9">
        <v>43104798.76000009</v>
      </c>
      <c r="AZ110" s="14">
        <v>0.5921331319726406</v>
      </c>
      <c r="BA110" s="10">
        <v>6291</v>
      </c>
      <c r="BB110" s="14">
        <v>0.517437078466853</v>
      </c>
      <c r="BC110" s="56"/>
      <c r="BD110" s="55"/>
      <c r="BE110" s="9">
        <v>38558048.90000017</v>
      </c>
      <c r="BF110" s="14">
        <v>0.59737140091779</v>
      </c>
      <c r="BG110" s="10">
        <v>5972</v>
      </c>
      <c r="BH110" s="14">
        <v>0.5388918967695362</v>
      </c>
      <c r="BI110" s="56"/>
      <c r="BJ110" s="55"/>
      <c r="BK110" s="56"/>
      <c r="BL110" s="9">
        <v>33341611.760000106</v>
      </c>
      <c r="BM110" s="14">
        <v>0.5961970309699466</v>
      </c>
      <c r="BN110" s="10">
        <v>5523</v>
      </c>
      <c r="BO110" s="14">
        <v>0.5417892878163626</v>
      </c>
      <c r="BP110" s="56"/>
      <c r="BQ110" s="55"/>
      <c r="BR110" s="56"/>
      <c r="BS110" s="9">
        <v>28612869.950000107</v>
      </c>
      <c r="BT110" s="14">
        <v>0.5328551369818247</v>
      </c>
      <c r="BU110" s="10">
        <v>5096</v>
      </c>
      <c r="BV110" s="14">
        <v>0.5054552668121405</v>
      </c>
      <c r="BW110" s="56"/>
      <c r="BX110" s="55"/>
      <c r="BY110" s="56"/>
      <c r="BZ110" s="9">
        <v>24132541.59000001</v>
      </c>
      <c r="CA110" s="14">
        <v>0.4554624754674426</v>
      </c>
      <c r="CB110" s="10">
        <v>4627</v>
      </c>
      <c r="CC110" s="14">
        <v>0.46831983805668015</v>
      </c>
      <c r="CD110" s="56"/>
      <c r="CE110" s="55"/>
      <c r="CF110" s="56"/>
      <c r="CG110" s="9">
        <v>19940774.190000013</v>
      </c>
      <c r="CH110" s="14">
        <v>0.38733880324243525</v>
      </c>
      <c r="CI110" s="10">
        <v>4139</v>
      </c>
      <c r="CJ110" s="14">
        <v>0.4398512221041445</v>
      </c>
      <c r="CK110" s="56"/>
      <c r="CL110" s="55"/>
      <c r="CM110" s="56"/>
      <c r="CN110" s="9">
        <v>15949674.559999987</v>
      </c>
      <c r="CO110" s="14">
        <v>0.3494267039658426</v>
      </c>
      <c r="CP110" s="10">
        <v>3563</v>
      </c>
      <c r="CQ110" s="14">
        <v>0.42081020432266447</v>
      </c>
      <c r="CR110" s="56"/>
      <c r="CS110" s="55"/>
      <c r="CT110" s="56"/>
      <c r="CU110" s="9">
        <v>23434330.310000017</v>
      </c>
      <c r="CV110" s="14">
        <v>0.3271787014470286</v>
      </c>
      <c r="CW110" s="10">
        <v>5475</v>
      </c>
      <c r="CX110" s="14">
        <v>0.406790994873319</v>
      </c>
      <c r="CY110" s="56"/>
      <c r="CZ110" s="55"/>
      <c r="DA110" s="56"/>
    </row>
    <row r="111" spans="1:105" ht="12.75">
      <c r="A111" s="24">
        <v>2003</v>
      </c>
      <c r="B111" s="8"/>
      <c r="C111" s="8"/>
      <c r="D111" s="9"/>
      <c r="E111" s="14"/>
      <c r="F111" s="10"/>
      <c r="G111" s="14"/>
      <c r="H111" s="14"/>
      <c r="I111" s="9"/>
      <c r="J111" s="14"/>
      <c r="K111" s="10"/>
      <c r="L111" s="14"/>
      <c r="M111" s="56"/>
      <c r="N111" s="55"/>
      <c r="O111" s="56"/>
      <c r="P111" s="9"/>
      <c r="Q111" s="14"/>
      <c r="R111" s="10"/>
      <c r="S111" s="14"/>
      <c r="T111" s="56"/>
      <c r="U111" s="55"/>
      <c r="V111" s="56"/>
      <c r="W111" s="9"/>
      <c r="X111" s="14"/>
      <c r="Y111" s="10"/>
      <c r="Z111" s="14"/>
      <c r="AA111" s="56"/>
      <c r="AB111" s="55"/>
      <c r="AC111" s="56"/>
      <c r="AD111" s="9"/>
      <c r="AE111" s="14"/>
      <c r="AF111" s="10"/>
      <c r="AG111" s="14"/>
      <c r="AH111" s="56"/>
      <c r="AI111" s="55"/>
      <c r="AJ111" s="56"/>
      <c r="AK111" s="9"/>
      <c r="AL111" s="14"/>
      <c r="AM111" s="10"/>
      <c r="AN111" s="14"/>
      <c r="AO111" s="56"/>
      <c r="AP111" s="55"/>
      <c r="AQ111" s="56"/>
      <c r="AR111" s="9"/>
      <c r="AS111" s="14"/>
      <c r="AT111" s="10"/>
      <c r="AU111" s="14"/>
      <c r="AV111" s="56"/>
      <c r="AW111" s="55"/>
      <c r="AX111" s="56"/>
      <c r="AY111" s="9">
        <v>2867737.89</v>
      </c>
      <c r="AZ111" s="14">
        <v>0.03939428247738579</v>
      </c>
      <c r="BA111" s="10">
        <v>354</v>
      </c>
      <c r="BB111" s="14">
        <v>0.029116631024839613</v>
      </c>
      <c r="BC111" s="56"/>
      <c r="BD111" s="55"/>
      <c r="BE111" s="9">
        <v>3758330.5</v>
      </c>
      <c r="BF111" s="14">
        <v>0.058226990730774454</v>
      </c>
      <c r="BG111" s="10">
        <v>503</v>
      </c>
      <c r="BH111" s="14">
        <v>0.04538891896769536</v>
      </c>
      <c r="BI111" s="56"/>
      <c r="BJ111" s="55"/>
      <c r="BK111" s="56"/>
      <c r="BL111" s="9">
        <v>4403277.71</v>
      </c>
      <c r="BM111" s="14">
        <v>0.07873707834327374</v>
      </c>
      <c r="BN111" s="10">
        <v>613</v>
      </c>
      <c r="BO111" s="14">
        <v>0.06013341181086914</v>
      </c>
      <c r="BP111" s="56"/>
      <c r="BQ111" s="55"/>
      <c r="BR111" s="56"/>
      <c r="BS111" s="9">
        <v>10727514.329999993</v>
      </c>
      <c r="BT111" s="14">
        <v>0.19977762202028296</v>
      </c>
      <c r="BU111" s="10">
        <v>1522</v>
      </c>
      <c r="BV111" s="14">
        <v>0.15096211069232296</v>
      </c>
      <c r="BW111" s="56"/>
      <c r="BX111" s="55"/>
      <c r="BY111" s="56"/>
      <c r="BZ111" s="9">
        <v>17485555.220000014</v>
      </c>
      <c r="CA111" s="14">
        <v>0.3300114178078939</v>
      </c>
      <c r="CB111" s="10">
        <v>2316</v>
      </c>
      <c r="CC111" s="14">
        <v>0.23441295546558705</v>
      </c>
      <c r="CD111" s="56"/>
      <c r="CE111" s="55"/>
      <c r="CF111" s="56"/>
      <c r="CG111" s="9">
        <v>16442329.419999976</v>
      </c>
      <c r="CH111" s="14">
        <v>0.319383397022494</v>
      </c>
      <c r="CI111" s="10">
        <v>2277</v>
      </c>
      <c r="CJ111" s="14">
        <v>0.24197662061636557</v>
      </c>
      <c r="CK111" s="56"/>
      <c r="CL111" s="55"/>
      <c r="CM111" s="56"/>
      <c r="CN111" s="9">
        <v>14238368.210000027</v>
      </c>
      <c r="CO111" s="14">
        <v>0.31193527208070804</v>
      </c>
      <c r="CP111" s="10">
        <v>2109</v>
      </c>
      <c r="CQ111" s="14">
        <v>0.24908468170544468</v>
      </c>
      <c r="CR111" s="56"/>
      <c r="CS111" s="55"/>
      <c r="CT111" s="56"/>
      <c r="CU111" s="9">
        <v>21090088.970000025</v>
      </c>
      <c r="CV111" s="14">
        <v>0.29444954608591517</v>
      </c>
      <c r="CW111" s="10">
        <v>3559</v>
      </c>
      <c r="CX111" s="14">
        <v>0.2644327215989301</v>
      </c>
      <c r="CY111" s="56"/>
      <c r="CZ111" s="55"/>
      <c r="DA111" s="56"/>
    </row>
    <row r="112" spans="1:105" ht="12.75">
      <c r="A112" s="24">
        <v>2004</v>
      </c>
      <c r="B112" s="8"/>
      <c r="C112" s="8"/>
      <c r="D112" s="9"/>
      <c r="E112" s="14"/>
      <c r="F112" s="10"/>
      <c r="G112" s="14"/>
      <c r="H112" s="14"/>
      <c r="I112" s="9"/>
      <c r="J112" s="14"/>
      <c r="K112" s="10"/>
      <c r="L112" s="14"/>
      <c r="M112" s="56"/>
      <c r="N112" s="55"/>
      <c r="O112" s="56"/>
      <c r="P112" s="9"/>
      <c r="Q112" s="14"/>
      <c r="R112" s="10"/>
      <c r="S112" s="14"/>
      <c r="T112" s="56"/>
      <c r="U112" s="55"/>
      <c r="V112" s="56"/>
      <c r="W112" s="9"/>
      <c r="X112" s="14"/>
      <c r="Y112" s="10"/>
      <c r="Z112" s="14"/>
      <c r="AA112" s="56"/>
      <c r="AB112" s="55"/>
      <c r="AC112" s="56"/>
      <c r="AD112" s="9"/>
      <c r="AE112" s="14"/>
      <c r="AF112" s="10"/>
      <c r="AG112" s="14"/>
      <c r="AH112" s="56"/>
      <c r="AI112" s="55"/>
      <c r="AJ112" s="56"/>
      <c r="AK112" s="9"/>
      <c r="AL112" s="14"/>
      <c r="AM112" s="10"/>
      <c r="AN112" s="14"/>
      <c r="AO112" s="56"/>
      <c r="AP112" s="55"/>
      <c r="AQ112" s="56"/>
      <c r="AR112" s="9"/>
      <c r="AS112" s="14"/>
      <c r="AT112" s="10"/>
      <c r="AU112" s="14"/>
      <c r="AV112" s="56"/>
      <c r="AW112" s="55"/>
      <c r="AX112" s="56"/>
      <c r="AY112" s="9"/>
      <c r="AZ112" s="14"/>
      <c r="BA112" s="10"/>
      <c r="BB112" s="14"/>
      <c r="BC112" s="56"/>
      <c r="BD112" s="55"/>
      <c r="BE112" s="9"/>
      <c r="BF112" s="14"/>
      <c r="BG112" s="10"/>
      <c r="BH112" s="14"/>
      <c r="BI112" s="56"/>
      <c r="BJ112" s="55"/>
      <c r="BK112" s="56"/>
      <c r="BL112" s="9"/>
      <c r="BM112" s="14"/>
      <c r="BN112" s="10"/>
      <c r="BO112" s="14"/>
      <c r="BP112" s="56"/>
      <c r="BQ112" s="55"/>
      <c r="BR112" s="56"/>
      <c r="BS112" s="9"/>
      <c r="BT112" s="14"/>
      <c r="BU112" s="10"/>
      <c r="BV112" s="14"/>
      <c r="BW112" s="56"/>
      <c r="BX112" s="55"/>
      <c r="BY112" s="56"/>
      <c r="BZ112" s="9"/>
      <c r="CA112" s="14"/>
      <c r="CB112" s="10"/>
      <c r="CC112" s="14"/>
      <c r="CD112" s="56"/>
      <c r="CE112" s="55"/>
      <c r="CF112" s="56"/>
      <c r="CG112" s="9">
        <v>6866606.130000005</v>
      </c>
      <c r="CH112" s="14">
        <v>0.13338012734055085</v>
      </c>
      <c r="CI112" s="10">
        <v>620</v>
      </c>
      <c r="CJ112" s="14">
        <v>0.06588735387885228</v>
      </c>
      <c r="CK112" s="56"/>
      <c r="CL112" s="55"/>
      <c r="CM112" s="56"/>
      <c r="CN112" s="9">
        <v>9515660.690000003</v>
      </c>
      <c r="CO112" s="14">
        <v>0.20846983043170247</v>
      </c>
      <c r="CP112" s="10">
        <v>850</v>
      </c>
      <c r="CQ112" s="14">
        <v>0.10038974843510098</v>
      </c>
      <c r="CR112" s="56"/>
      <c r="CS112" s="55"/>
      <c r="CT112" s="56"/>
      <c r="CU112" s="9">
        <v>20910821.380000047</v>
      </c>
      <c r="CV112" s="14">
        <v>0.2919466993421914</v>
      </c>
      <c r="CW112" s="10">
        <v>1813</v>
      </c>
      <c r="CX112" s="14">
        <v>0.13470540159001412</v>
      </c>
      <c r="CY112" s="56"/>
      <c r="CZ112" s="55"/>
      <c r="DA112" s="56"/>
    </row>
    <row r="113" spans="1:105" ht="12.75">
      <c r="A113" s="8"/>
      <c r="B113" s="8"/>
      <c r="C113" s="8"/>
      <c r="D113" s="9"/>
      <c r="E113" s="8"/>
      <c r="F113" s="10"/>
      <c r="G113" s="8"/>
      <c r="H113" s="8"/>
      <c r="I113" s="9"/>
      <c r="J113" s="8"/>
      <c r="K113" s="10"/>
      <c r="L113" s="8"/>
      <c r="M113" s="54"/>
      <c r="N113" s="55"/>
      <c r="O113" s="54"/>
      <c r="P113" s="9"/>
      <c r="Q113" s="8"/>
      <c r="R113" s="10"/>
      <c r="S113" s="8"/>
      <c r="T113" s="54"/>
      <c r="U113" s="55"/>
      <c r="V113" s="54"/>
      <c r="W113" s="9"/>
      <c r="X113" s="8"/>
      <c r="Y113" s="10"/>
      <c r="Z113" s="8"/>
      <c r="AA113" s="54"/>
      <c r="AB113" s="55"/>
      <c r="AC113" s="54"/>
      <c r="AD113" s="9"/>
      <c r="AE113" s="8"/>
      <c r="AF113" s="10"/>
      <c r="AG113" s="8"/>
      <c r="AH113" s="54"/>
      <c r="AI113" s="55"/>
      <c r="AJ113" s="54"/>
      <c r="AK113" s="9"/>
      <c r="AL113" s="8"/>
      <c r="AM113" s="10"/>
      <c r="AN113" s="8"/>
      <c r="AO113" s="54"/>
      <c r="AP113" s="55"/>
      <c r="AQ113" s="54"/>
      <c r="AR113" s="9"/>
      <c r="AS113" s="8"/>
      <c r="AT113" s="10"/>
      <c r="AU113" s="8"/>
      <c r="AV113" s="54"/>
      <c r="AW113" s="55"/>
      <c r="AX113" s="54"/>
      <c r="AY113" s="9"/>
      <c r="AZ113" s="8"/>
      <c r="BA113" s="10"/>
      <c r="BB113" s="8"/>
      <c r="BC113" s="54"/>
      <c r="BD113" s="55"/>
      <c r="BE113" s="9"/>
      <c r="BF113" s="8"/>
      <c r="BG113" s="10"/>
      <c r="BH113" s="8"/>
      <c r="BI113" s="54"/>
      <c r="BJ113" s="55"/>
      <c r="BK113" s="54"/>
      <c r="BL113" s="9"/>
      <c r="BM113" s="8"/>
      <c r="BN113" s="10"/>
      <c r="BO113" s="8"/>
      <c r="BP113" s="54"/>
      <c r="BQ113" s="55"/>
      <c r="BR113" s="54"/>
      <c r="BS113" s="9"/>
      <c r="BT113" s="8"/>
      <c r="BU113" s="10"/>
      <c r="BV113" s="8"/>
      <c r="BW113" s="54"/>
      <c r="BX113" s="55"/>
      <c r="BY113" s="54"/>
      <c r="BZ113" s="9"/>
      <c r="CA113" s="8"/>
      <c r="CB113" s="10"/>
      <c r="CC113" s="8"/>
      <c r="CD113" s="54"/>
      <c r="CE113" s="55"/>
      <c r="CF113" s="54"/>
      <c r="CG113" s="9"/>
      <c r="CH113" s="8"/>
      <c r="CI113" s="10"/>
      <c r="CJ113" s="8"/>
      <c r="CK113" s="54"/>
      <c r="CL113" s="55"/>
      <c r="CM113" s="54"/>
      <c r="CN113" s="9"/>
      <c r="CO113" s="8"/>
      <c r="CP113" s="10"/>
      <c r="CQ113" s="8"/>
      <c r="CR113" s="54"/>
      <c r="CS113" s="55"/>
      <c r="CT113" s="54"/>
      <c r="CU113" s="9"/>
      <c r="CV113" s="8"/>
      <c r="CW113" s="10"/>
      <c r="CX113" s="8"/>
      <c r="CY113" s="54"/>
      <c r="CZ113" s="55"/>
      <c r="DA113" s="54"/>
    </row>
    <row r="114" spans="1:105" ht="13.5" thickBot="1">
      <c r="A114" s="8"/>
      <c r="B114" s="12"/>
      <c r="C114" s="12"/>
      <c r="D114" s="21">
        <f>SUM(D104:D109)</f>
        <v>26409549.29000005</v>
      </c>
      <c r="E114" s="12"/>
      <c r="F114" s="22">
        <f>SUM(F104:F109)</f>
        <v>3551</v>
      </c>
      <c r="G114" s="12"/>
      <c r="H114" s="12"/>
      <c r="I114" s="21">
        <f>SUM(I104:I109)</f>
        <v>24331397.62999997</v>
      </c>
      <c r="J114" s="12"/>
      <c r="K114" s="22">
        <f>SUM(K104:K109)</f>
        <v>3444</v>
      </c>
      <c r="L114" s="12"/>
      <c r="M114" s="53"/>
      <c r="N114" s="31"/>
      <c r="O114" s="53"/>
      <c r="P114" s="21">
        <v>37947496.329999976</v>
      </c>
      <c r="Q114" s="12"/>
      <c r="R114" s="22">
        <v>5626</v>
      </c>
      <c r="S114" s="12"/>
      <c r="T114" s="53"/>
      <c r="U114" s="31"/>
      <c r="V114" s="53"/>
      <c r="W114" s="21">
        <f>SUM(W104:W113)</f>
        <v>46643003.68999991</v>
      </c>
      <c r="X114" s="12"/>
      <c r="Y114" s="22">
        <f>SUM(Y104:Y113)</f>
        <v>7066</v>
      </c>
      <c r="Z114" s="12"/>
      <c r="AA114" s="53"/>
      <c r="AB114" s="31"/>
      <c r="AC114" s="53"/>
      <c r="AD114" s="21">
        <f>SUM(AD104:AD113)</f>
        <v>50091649.0400001</v>
      </c>
      <c r="AE114" s="12"/>
      <c r="AF114" s="22">
        <f>SUM(AF104:AF113)</f>
        <v>7930</v>
      </c>
      <c r="AG114" s="12"/>
      <c r="AH114" s="53"/>
      <c r="AI114" s="31"/>
      <c r="AJ114" s="53"/>
      <c r="AK114" s="21">
        <f>SUM(AK104:AK113)</f>
        <v>56058896.369999886</v>
      </c>
      <c r="AL114" s="12"/>
      <c r="AM114" s="22">
        <f>SUM(AM104:AM113)</f>
        <v>9036</v>
      </c>
      <c r="AN114" s="12"/>
      <c r="AO114" s="53"/>
      <c r="AP114" s="31"/>
      <c r="AQ114" s="53"/>
      <c r="AR114" s="21">
        <f>SUM(AR104:AR113)</f>
        <v>67578330.16999993</v>
      </c>
      <c r="AS114" s="12"/>
      <c r="AT114" s="22">
        <f>SUM(AT104:AT113)</f>
        <v>11060</v>
      </c>
      <c r="AU114" s="12"/>
      <c r="AV114" s="53"/>
      <c r="AW114" s="31"/>
      <c r="AX114" s="53"/>
      <c r="AY114" s="21">
        <f>SUM(AY104:AY113)</f>
        <v>72795789.38</v>
      </c>
      <c r="AZ114" s="12"/>
      <c r="BA114" s="22">
        <f>SUM(BA104:BA113)</f>
        <v>12158</v>
      </c>
      <c r="BB114" s="12"/>
      <c r="BC114" s="53"/>
      <c r="BD114" s="31"/>
      <c r="BE114" s="21">
        <f>SUM(BE104:BE113)</f>
        <v>64546191.600000136</v>
      </c>
      <c r="BF114" s="12"/>
      <c r="BG114" s="22">
        <f>SUM(BG104:BG113)</f>
        <v>11082</v>
      </c>
      <c r="BH114" s="12"/>
      <c r="BI114" s="53"/>
      <c r="BJ114" s="31"/>
      <c r="BK114" s="53"/>
      <c r="BL114" s="21">
        <f>SUM(BL104:BL113)</f>
        <v>55923813.82000007</v>
      </c>
      <c r="BM114" s="12"/>
      <c r="BN114" s="22">
        <f>SUM(BN104:BN113)</f>
        <v>10194</v>
      </c>
      <c r="BO114" s="12"/>
      <c r="BP114" s="53"/>
      <c r="BQ114" s="31"/>
      <c r="BR114" s="53"/>
      <c r="BS114" s="21">
        <f>SUM(BS104:BS113)</f>
        <v>53697277.1100001</v>
      </c>
      <c r="BT114" s="12"/>
      <c r="BU114" s="22">
        <f>SUM(BU104:BU113)</f>
        <v>10082</v>
      </c>
      <c r="BV114" s="12"/>
      <c r="BW114" s="53"/>
      <c r="BX114" s="31"/>
      <c r="BY114" s="53"/>
      <c r="BZ114" s="21">
        <f>SUM(BZ104:BZ113)</f>
        <v>52984697.73000005</v>
      </c>
      <c r="CA114" s="12"/>
      <c r="CB114" s="22">
        <f>SUM(CB104:CB113)</f>
        <v>9880</v>
      </c>
      <c r="CC114" s="12"/>
      <c r="CD114" s="53"/>
      <c r="CE114" s="31"/>
      <c r="CF114" s="53"/>
      <c r="CG114" s="21">
        <f>SUM(CG104:CG113)</f>
        <v>51490153.429999985</v>
      </c>
      <c r="CH114" s="12"/>
      <c r="CI114" s="22">
        <f>SUM(CI104:CI113)</f>
        <v>9411</v>
      </c>
      <c r="CJ114" s="12"/>
      <c r="CK114" s="53"/>
      <c r="CL114" s="31"/>
      <c r="CM114" s="53"/>
      <c r="CN114" s="21">
        <f>SUM(CN104:CN113)</f>
        <v>45645265.17000004</v>
      </c>
      <c r="CO114" s="12"/>
      <c r="CP114" s="22">
        <f>SUM(CP104:CP113)</f>
        <v>8467</v>
      </c>
      <c r="CQ114" s="12"/>
      <c r="CR114" s="53"/>
      <c r="CS114" s="31"/>
      <c r="CT114" s="53"/>
      <c r="CU114" s="21">
        <f>SUM(CU104:CU113)</f>
        <v>71625476.25000009</v>
      </c>
      <c r="CV114" s="12"/>
      <c r="CW114" s="22">
        <f>SUM(CW104:CW113)</f>
        <v>13459</v>
      </c>
      <c r="CX114" s="12"/>
      <c r="CY114" s="53"/>
      <c r="CZ114" s="31"/>
      <c r="DA114" s="53"/>
    </row>
    <row r="115" spans="1:105" ht="13.5" thickTop="1">
      <c r="A115" s="8"/>
      <c r="B115" s="8"/>
      <c r="C115" s="8"/>
      <c r="D115" s="10"/>
      <c r="E115" s="8"/>
      <c r="F115" s="10"/>
      <c r="G115" s="8"/>
      <c r="H115" s="8"/>
      <c r="I115" s="10"/>
      <c r="J115" s="8"/>
      <c r="K115" s="10"/>
      <c r="L115" s="8"/>
      <c r="M115" s="8"/>
      <c r="N115" s="10"/>
      <c r="O115" s="8"/>
      <c r="P115" s="10"/>
      <c r="Q115" s="8"/>
      <c r="R115" s="10"/>
      <c r="S115" s="8"/>
      <c r="T115" s="8"/>
      <c r="U115" s="10"/>
      <c r="V115" s="8"/>
      <c r="W115" s="10"/>
      <c r="X115" s="8"/>
      <c r="Y115" s="10"/>
      <c r="Z115" s="8"/>
      <c r="AA115" s="8"/>
      <c r="AB115" s="10"/>
      <c r="AC115" s="8"/>
      <c r="AD115" s="10"/>
      <c r="AE115" s="8"/>
      <c r="AF115" s="10"/>
      <c r="AG115" s="8"/>
      <c r="AH115" s="8"/>
      <c r="AI115" s="10"/>
      <c r="AJ115" s="8"/>
      <c r="AK115" s="10"/>
      <c r="AL115" s="8"/>
      <c r="AM115" s="10"/>
      <c r="AN115" s="8"/>
      <c r="AO115" s="8"/>
      <c r="AP115" s="10"/>
      <c r="AQ115" s="8"/>
      <c r="AR115" s="10"/>
      <c r="AS115" s="8"/>
      <c r="AT115" s="10"/>
      <c r="AU115" s="8"/>
      <c r="AV115" s="8"/>
      <c r="AW115" s="10"/>
      <c r="AX115" s="8"/>
      <c r="AY115" s="10"/>
      <c r="AZ115" s="8"/>
      <c r="BA115" s="10"/>
      <c r="BB115" s="8"/>
      <c r="BC115" s="8"/>
      <c r="BD115" s="10"/>
      <c r="BE115" s="10"/>
      <c r="BF115" s="8"/>
      <c r="BG115" s="10"/>
      <c r="BH115" s="8"/>
      <c r="BI115" s="8"/>
      <c r="BJ115" s="10"/>
      <c r="BK115" s="8"/>
      <c r="BL115" s="10"/>
      <c r="BM115" s="8"/>
      <c r="BN115" s="10"/>
      <c r="BO115" s="8"/>
      <c r="BP115" s="8"/>
      <c r="BQ115" s="10"/>
      <c r="BR115" s="8"/>
      <c r="BS115" s="10"/>
      <c r="BT115" s="8"/>
      <c r="BU115" s="10"/>
      <c r="BV115" s="8"/>
      <c r="BW115" s="8"/>
      <c r="BX115" s="10"/>
      <c r="BY115" s="8"/>
      <c r="BZ115" s="10"/>
      <c r="CA115" s="8"/>
      <c r="CB115" s="10"/>
      <c r="CC115" s="8"/>
      <c r="CD115" s="8"/>
      <c r="CE115" s="10"/>
      <c r="CF115" s="8"/>
      <c r="CG115" s="10"/>
      <c r="CH115" s="8"/>
      <c r="CI115" s="10"/>
      <c r="CJ115" s="8"/>
      <c r="CK115" s="8"/>
      <c r="CL115" s="10"/>
      <c r="CM115" s="8"/>
      <c r="CN115" s="10"/>
      <c r="CO115" s="8"/>
      <c r="CP115" s="10"/>
      <c r="CQ115" s="8"/>
      <c r="CR115" s="8"/>
      <c r="CS115" s="10"/>
      <c r="CT115" s="8"/>
      <c r="CU115" s="10"/>
      <c r="CV115" s="8"/>
      <c r="CW115" s="10"/>
      <c r="CX115" s="8"/>
      <c r="CY115" s="8"/>
      <c r="CZ115" s="10"/>
      <c r="DA115" s="8"/>
    </row>
    <row r="116" spans="1:105" ht="12.75">
      <c r="A116" s="8"/>
      <c r="B116" s="8"/>
      <c r="C116" s="8"/>
      <c r="D116" s="9"/>
      <c r="E116" s="8"/>
      <c r="F116" s="10"/>
      <c r="G116" s="8"/>
      <c r="H116" s="8"/>
      <c r="I116" s="8"/>
      <c r="J116" s="8"/>
      <c r="K116" s="8"/>
      <c r="L116" s="9"/>
      <c r="M116" s="8"/>
      <c r="N116" s="10"/>
      <c r="O116" s="8"/>
      <c r="P116" s="8"/>
      <c r="Q116" s="8"/>
      <c r="R116" s="8"/>
      <c r="S116" s="9"/>
      <c r="T116" s="8"/>
      <c r="U116" s="10"/>
      <c r="V116" s="8"/>
      <c r="W116" s="8"/>
      <c r="X116" s="8"/>
      <c r="Y116" s="8"/>
      <c r="Z116" s="9"/>
      <c r="AA116" s="8"/>
      <c r="AB116" s="10"/>
      <c r="AC116" s="8"/>
      <c r="AD116" s="8"/>
      <c r="AE116" s="8"/>
      <c r="AF116" s="8"/>
      <c r="AG116" s="9"/>
      <c r="AH116" s="8"/>
      <c r="AI116" s="10"/>
      <c r="AJ116" s="8"/>
      <c r="AK116" s="8"/>
      <c r="AL116" s="8"/>
      <c r="AM116" s="8"/>
      <c r="AN116" s="9"/>
      <c r="AO116" s="8"/>
      <c r="AP116" s="10"/>
      <c r="AQ116" s="8"/>
      <c r="AR116" s="8"/>
      <c r="AS116" s="8"/>
      <c r="AT116" s="8"/>
      <c r="AU116" s="9"/>
      <c r="AV116" s="8"/>
      <c r="AW116" s="10"/>
      <c r="AX116" s="8"/>
      <c r="AY116" s="8"/>
      <c r="AZ116" s="8"/>
      <c r="BA116" s="8"/>
      <c r="BB116" s="9"/>
      <c r="BC116" s="8"/>
      <c r="BD116" s="10"/>
      <c r="BE116" s="8"/>
      <c r="BF116" s="8"/>
      <c r="BG116" s="8"/>
      <c r="BH116" s="9"/>
      <c r="BI116" s="8"/>
      <c r="BJ116" s="10"/>
      <c r="BK116" s="8"/>
      <c r="BL116" s="8"/>
      <c r="BM116" s="8"/>
      <c r="BN116" s="8"/>
      <c r="BO116" s="9"/>
      <c r="BP116" s="8"/>
      <c r="BQ116" s="10"/>
      <c r="BR116" s="8"/>
      <c r="BS116" s="8"/>
      <c r="BT116" s="8"/>
      <c r="BU116" s="8"/>
      <c r="BV116" s="9"/>
      <c r="BW116" s="8"/>
      <c r="BX116" s="10"/>
      <c r="BY116" s="8"/>
      <c r="BZ116" s="8"/>
      <c r="CA116" s="8"/>
      <c r="CB116" s="8"/>
      <c r="CC116" s="9"/>
      <c r="CD116" s="8"/>
      <c r="CE116" s="10"/>
      <c r="CF116" s="8"/>
      <c r="CG116" s="95"/>
      <c r="CH116" s="95"/>
      <c r="CI116" s="8"/>
      <c r="CJ116" s="9"/>
      <c r="CK116" s="8"/>
      <c r="CL116" s="10"/>
      <c r="CM116" s="8"/>
      <c r="CN116" s="95"/>
      <c r="CO116" s="95"/>
      <c r="CP116" s="8"/>
      <c r="CQ116" s="9"/>
      <c r="CR116" s="8"/>
      <c r="CS116" s="10"/>
      <c r="CT116" s="8"/>
      <c r="CU116" s="95"/>
      <c r="CV116" s="95"/>
      <c r="CW116" s="8"/>
      <c r="CX116" s="9"/>
      <c r="CY116" s="8"/>
      <c r="CZ116" s="10"/>
      <c r="DA116" s="8"/>
    </row>
    <row r="117" spans="1:105" ht="12.75">
      <c r="A117" s="8"/>
      <c r="B117" s="8"/>
      <c r="C117" s="8"/>
      <c r="D117" s="9"/>
      <c r="E117" s="8"/>
      <c r="F117" s="10"/>
      <c r="G117" s="8"/>
      <c r="H117" s="8"/>
      <c r="I117" s="8"/>
      <c r="J117" s="8"/>
      <c r="K117" s="8"/>
      <c r="L117" s="9"/>
      <c r="M117" s="8"/>
      <c r="N117" s="10"/>
      <c r="O117" s="8"/>
      <c r="P117" s="8"/>
      <c r="Q117" s="8"/>
      <c r="R117" s="8"/>
      <c r="S117" s="9"/>
      <c r="T117" s="8"/>
      <c r="U117" s="10"/>
      <c r="V117" s="8"/>
      <c r="W117" s="8"/>
      <c r="X117" s="8"/>
      <c r="Y117" s="8"/>
      <c r="Z117" s="9"/>
      <c r="AA117" s="8"/>
      <c r="AB117" s="10"/>
      <c r="AC117" s="8"/>
      <c r="AD117" s="8"/>
      <c r="AE117" s="8"/>
      <c r="AF117" s="8"/>
      <c r="AG117" s="9"/>
      <c r="AH117" s="8"/>
      <c r="AI117" s="10"/>
      <c r="AJ117" s="8"/>
      <c r="AK117" s="8"/>
      <c r="AL117" s="8"/>
      <c r="AM117" s="8"/>
      <c r="AN117" s="9"/>
      <c r="AO117" s="8"/>
      <c r="AP117" s="10"/>
      <c r="AQ117" s="8"/>
      <c r="AR117" s="8"/>
      <c r="AS117" s="8"/>
      <c r="AT117" s="8"/>
      <c r="AU117" s="9"/>
      <c r="AV117" s="8"/>
      <c r="AW117" s="10"/>
      <c r="AX117" s="8"/>
      <c r="AY117" s="8"/>
      <c r="AZ117" s="8"/>
      <c r="BA117" s="8"/>
      <c r="BB117" s="9"/>
      <c r="BC117" s="8"/>
      <c r="BD117" s="10"/>
      <c r="BE117" s="8"/>
      <c r="BF117" s="8"/>
      <c r="BG117" s="8"/>
      <c r="BH117" s="9"/>
      <c r="BI117" s="8"/>
      <c r="BJ117" s="10"/>
      <c r="BK117" s="8"/>
      <c r="BL117" s="8"/>
      <c r="BM117" s="8"/>
      <c r="BN117" s="8"/>
      <c r="BO117" s="9"/>
      <c r="BP117" s="8"/>
      <c r="BQ117" s="10"/>
      <c r="BR117" s="8"/>
      <c r="BS117" s="8"/>
      <c r="BT117" s="8"/>
      <c r="BU117" s="8"/>
      <c r="BV117" s="9"/>
      <c r="BW117" s="8"/>
      <c r="BX117" s="10"/>
      <c r="BY117" s="8"/>
      <c r="BZ117" s="8"/>
      <c r="CA117" s="8"/>
      <c r="CB117" s="8"/>
      <c r="CC117" s="9"/>
      <c r="CD117" s="8"/>
      <c r="CE117" s="10"/>
      <c r="CF117" s="8"/>
      <c r="CG117" s="8"/>
      <c r="CH117" s="8"/>
      <c r="CI117" s="8"/>
      <c r="CJ117" s="9"/>
      <c r="CK117" s="8"/>
      <c r="CL117" s="10"/>
      <c r="CM117" s="8"/>
      <c r="CN117" s="8"/>
      <c r="CO117" s="8"/>
      <c r="CP117" s="8"/>
      <c r="CQ117" s="9"/>
      <c r="CR117" s="8"/>
      <c r="CS117" s="10"/>
      <c r="CT117" s="8"/>
      <c r="CU117" s="8"/>
      <c r="CV117" s="8"/>
      <c r="CW117" s="8"/>
      <c r="CX117" s="9"/>
      <c r="CY117" s="8"/>
      <c r="CZ117" s="10"/>
      <c r="DA117" s="8"/>
    </row>
    <row r="118" spans="1:105" ht="12.75">
      <c r="A118" s="8"/>
      <c r="B118" s="8"/>
      <c r="C118" s="8"/>
      <c r="D118" s="9"/>
      <c r="E118" s="8"/>
      <c r="F118" s="10"/>
      <c r="G118" s="8"/>
      <c r="H118" s="8"/>
      <c r="I118" s="69"/>
      <c r="J118" s="54"/>
      <c r="K118" s="54"/>
      <c r="L118" s="63"/>
      <c r="M118" s="54"/>
      <c r="N118" s="55"/>
      <c r="O118" s="54"/>
      <c r="P118" s="69"/>
      <c r="Q118" s="54"/>
      <c r="R118" s="54"/>
      <c r="S118" s="63"/>
      <c r="T118" s="54"/>
      <c r="U118" s="55"/>
      <c r="V118" s="54"/>
      <c r="W118" s="69"/>
      <c r="X118" s="54"/>
      <c r="Y118" s="54"/>
      <c r="Z118" s="63"/>
      <c r="AA118" s="54"/>
      <c r="AB118" s="55"/>
      <c r="AC118" s="54"/>
      <c r="AD118" s="69"/>
      <c r="AE118" s="54"/>
      <c r="AF118" s="54"/>
      <c r="AG118" s="63"/>
      <c r="AH118" s="54"/>
      <c r="AI118" s="55"/>
      <c r="AJ118" s="54"/>
      <c r="AK118" s="69"/>
      <c r="AL118" s="54"/>
      <c r="AM118" s="54"/>
      <c r="AN118" s="63"/>
      <c r="AO118" s="54"/>
      <c r="AP118" s="55"/>
      <c r="AQ118" s="54"/>
      <c r="AR118" s="69"/>
      <c r="AS118" s="54"/>
      <c r="AT118" s="54"/>
      <c r="AU118" s="63"/>
      <c r="AV118" s="54"/>
      <c r="AW118" s="55"/>
      <c r="AX118" s="54"/>
      <c r="AY118" s="69"/>
      <c r="AZ118" s="54"/>
      <c r="BA118" s="54"/>
      <c r="BB118" s="63"/>
      <c r="BC118" s="54"/>
      <c r="BD118" s="55"/>
      <c r="BE118" s="69"/>
      <c r="BF118" s="54"/>
      <c r="BG118" s="54"/>
      <c r="BH118" s="63"/>
      <c r="BI118" s="54"/>
      <c r="BJ118" s="55"/>
      <c r="BK118" s="54"/>
      <c r="BL118" s="69"/>
      <c r="BM118" s="54"/>
      <c r="BN118" s="54"/>
      <c r="BO118" s="63"/>
      <c r="BP118" s="54"/>
      <c r="BQ118" s="55"/>
      <c r="BR118" s="54"/>
      <c r="BS118" s="69"/>
      <c r="BT118" s="54"/>
      <c r="BU118" s="54"/>
      <c r="BV118" s="63"/>
      <c r="BW118" s="54"/>
      <c r="BX118" s="55"/>
      <c r="BY118" s="54"/>
      <c r="BZ118" s="69"/>
      <c r="CA118" s="54"/>
      <c r="CB118" s="54"/>
      <c r="CC118" s="63"/>
      <c r="CD118" s="54"/>
      <c r="CE118" s="55"/>
      <c r="CF118" s="54"/>
      <c r="CG118" s="69"/>
      <c r="CH118" s="54"/>
      <c r="CI118" s="54"/>
      <c r="CJ118" s="63"/>
      <c r="CK118" s="54"/>
      <c r="CL118" s="55"/>
      <c r="CM118" s="54"/>
      <c r="CN118" s="69"/>
      <c r="CO118" s="54"/>
      <c r="CP118" s="54"/>
      <c r="CQ118" s="63"/>
      <c r="CR118" s="54"/>
      <c r="CS118" s="55"/>
      <c r="CT118" s="54"/>
      <c r="CU118" s="69"/>
      <c r="CV118" s="54"/>
      <c r="CW118" s="54"/>
      <c r="CX118" s="63"/>
      <c r="CY118" s="54"/>
      <c r="CZ118" s="55"/>
      <c r="DA118" s="54"/>
    </row>
    <row r="119" spans="1:105" ht="12.75">
      <c r="A119" s="8"/>
      <c r="B119" s="8"/>
      <c r="C119" s="8"/>
      <c r="D119" s="9"/>
      <c r="E119" s="8"/>
      <c r="F119" s="10"/>
      <c r="G119" s="8"/>
      <c r="H119" s="8"/>
      <c r="I119" s="69"/>
      <c r="J119" s="54"/>
      <c r="K119" s="54"/>
      <c r="L119" s="63"/>
      <c r="M119" s="54"/>
      <c r="N119" s="55"/>
      <c r="O119" s="54"/>
      <c r="P119" s="69"/>
      <c r="Q119" s="54"/>
      <c r="R119" s="54"/>
      <c r="S119" s="63"/>
      <c r="T119" s="54"/>
      <c r="U119" s="55"/>
      <c r="V119" s="54"/>
      <c r="W119" s="69"/>
      <c r="X119" s="54"/>
      <c r="Y119" s="54"/>
      <c r="Z119" s="63"/>
      <c r="AA119" s="54"/>
      <c r="AB119" s="55"/>
      <c r="AC119" s="54"/>
      <c r="AD119" s="69"/>
      <c r="AE119" s="54"/>
      <c r="AF119" s="54"/>
      <c r="AG119" s="63"/>
      <c r="AH119" s="54"/>
      <c r="AI119" s="55"/>
      <c r="AJ119" s="54"/>
      <c r="AK119" s="69"/>
      <c r="AL119" s="54"/>
      <c r="AM119" s="54"/>
      <c r="AN119" s="63"/>
      <c r="AO119" s="54"/>
      <c r="AP119" s="55"/>
      <c r="AQ119" s="54"/>
      <c r="AR119" s="69"/>
      <c r="AS119" s="54"/>
      <c r="AT119" s="54"/>
      <c r="AU119" s="63"/>
      <c r="AV119" s="54"/>
      <c r="AW119" s="55"/>
      <c r="AX119" s="54"/>
      <c r="AY119" s="69"/>
      <c r="AZ119" s="54"/>
      <c r="BA119" s="54"/>
      <c r="BB119" s="63"/>
      <c r="BC119" s="54"/>
      <c r="BD119" s="55"/>
      <c r="BE119" s="69"/>
      <c r="BF119" s="54"/>
      <c r="BG119" s="54"/>
      <c r="BH119" s="63"/>
      <c r="BI119" s="54"/>
      <c r="BJ119" s="55"/>
      <c r="BK119" s="54"/>
      <c r="BL119" s="69"/>
      <c r="BM119" s="54"/>
      <c r="BN119" s="54"/>
      <c r="BO119" s="63"/>
      <c r="BP119" s="54"/>
      <c r="BQ119" s="55"/>
      <c r="BR119" s="54"/>
      <c r="BS119" s="69"/>
      <c r="BT119" s="54"/>
      <c r="BU119" s="54"/>
      <c r="BV119" s="63"/>
      <c r="BW119" s="54"/>
      <c r="BX119" s="55"/>
      <c r="BY119" s="54"/>
      <c r="BZ119" s="69"/>
      <c r="CA119" s="54"/>
      <c r="CB119" s="54"/>
      <c r="CC119" s="63"/>
      <c r="CD119" s="54"/>
      <c r="CE119" s="55"/>
      <c r="CF119" s="54"/>
      <c r="CG119" s="69"/>
      <c r="CH119" s="54"/>
      <c r="CI119" s="54"/>
      <c r="CJ119" s="63"/>
      <c r="CK119" s="54"/>
      <c r="CL119" s="55"/>
      <c r="CM119" s="54"/>
      <c r="CN119" s="69"/>
      <c r="CO119" s="54"/>
      <c r="CP119" s="54"/>
      <c r="CQ119" s="63"/>
      <c r="CR119" s="54"/>
      <c r="CS119" s="55"/>
      <c r="CT119" s="54"/>
      <c r="CU119" s="69"/>
      <c r="CV119" s="54"/>
      <c r="CW119" s="54"/>
      <c r="CX119" s="63"/>
      <c r="CY119" s="54"/>
      <c r="CZ119" s="55"/>
      <c r="DA119" s="54"/>
    </row>
    <row r="120" spans="1:105" ht="12.75">
      <c r="A120" s="19" t="s">
        <v>116</v>
      </c>
      <c r="B120" s="8"/>
      <c r="C120" s="8"/>
      <c r="D120" s="9"/>
      <c r="E120" s="8"/>
      <c r="F120" s="10"/>
      <c r="G120" s="8"/>
      <c r="H120" s="8"/>
      <c r="I120" s="19" t="s">
        <v>116</v>
      </c>
      <c r="J120" s="8"/>
      <c r="K120" s="8"/>
      <c r="L120" s="9"/>
      <c r="M120" s="8"/>
      <c r="N120" s="10"/>
      <c r="O120" s="8"/>
      <c r="P120" s="19" t="s">
        <v>116</v>
      </c>
      <c r="Q120" s="8"/>
      <c r="R120" s="8"/>
      <c r="S120" s="9"/>
      <c r="T120" s="8"/>
      <c r="U120" s="10"/>
      <c r="V120" s="8"/>
      <c r="W120" s="19" t="s">
        <v>116</v>
      </c>
      <c r="X120" s="8"/>
      <c r="Y120" s="8"/>
      <c r="Z120" s="9"/>
      <c r="AA120" s="8"/>
      <c r="AB120" s="10"/>
      <c r="AC120" s="8"/>
      <c r="AD120" s="19" t="s">
        <v>116</v>
      </c>
      <c r="AE120" s="8"/>
      <c r="AF120" s="8"/>
      <c r="AG120" s="9"/>
      <c r="AH120" s="8"/>
      <c r="AI120" s="10"/>
      <c r="AJ120" s="8"/>
      <c r="AK120" s="19" t="s">
        <v>116</v>
      </c>
      <c r="AL120" s="8"/>
      <c r="AM120" s="8"/>
      <c r="AN120" s="9"/>
      <c r="AO120" s="8"/>
      <c r="AP120" s="10"/>
      <c r="AQ120" s="8"/>
      <c r="AR120" s="19" t="s">
        <v>116</v>
      </c>
      <c r="AS120" s="8"/>
      <c r="AT120" s="8"/>
      <c r="AU120" s="9"/>
      <c r="AV120" s="8"/>
      <c r="AW120" s="10"/>
      <c r="AX120" s="8"/>
      <c r="AY120" s="19" t="s">
        <v>116</v>
      </c>
      <c r="AZ120" s="8"/>
      <c r="BA120" s="8"/>
      <c r="BB120" s="9"/>
      <c r="BC120" s="8"/>
      <c r="BD120" s="10"/>
      <c r="BE120" s="19" t="s">
        <v>116</v>
      </c>
      <c r="BF120" s="8"/>
      <c r="BG120" s="8"/>
      <c r="BH120" s="9"/>
      <c r="BI120" s="8"/>
      <c r="BJ120" s="10"/>
      <c r="BK120" s="8"/>
      <c r="BL120" s="19" t="s">
        <v>116</v>
      </c>
      <c r="BM120" s="8"/>
      <c r="BN120" s="8"/>
      <c r="BO120" s="9"/>
      <c r="BP120" s="8"/>
      <c r="BQ120" s="10"/>
      <c r="BR120" s="8"/>
      <c r="BS120" s="19" t="s">
        <v>116</v>
      </c>
      <c r="BT120" s="8"/>
      <c r="BU120" s="8"/>
      <c r="BV120" s="9"/>
      <c r="BW120" s="8"/>
      <c r="BX120" s="10"/>
      <c r="BY120" s="8"/>
      <c r="BZ120" s="19" t="s">
        <v>116</v>
      </c>
      <c r="CA120" s="8"/>
      <c r="CB120" s="8"/>
      <c r="CC120" s="9"/>
      <c r="CD120" s="8"/>
      <c r="CE120" s="10"/>
      <c r="CF120" s="8"/>
      <c r="CG120" s="19" t="s">
        <v>116</v>
      </c>
      <c r="CH120" s="8"/>
      <c r="CI120" s="8"/>
      <c r="CJ120" s="9"/>
      <c r="CK120" s="8"/>
      <c r="CL120" s="10"/>
      <c r="CM120" s="8"/>
      <c r="CN120" s="19" t="s">
        <v>116</v>
      </c>
      <c r="CO120" s="8"/>
      <c r="CP120" s="8"/>
      <c r="CQ120" s="9"/>
      <c r="CR120" s="8"/>
      <c r="CS120" s="10"/>
      <c r="CT120" s="8"/>
      <c r="CU120" s="19" t="s">
        <v>116</v>
      </c>
      <c r="CV120" s="8"/>
      <c r="CW120" s="8"/>
      <c r="CX120" s="9"/>
      <c r="CY120" s="8"/>
      <c r="CZ120" s="10"/>
      <c r="DA120" s="8"/>
    </row>
    <row r="121" spans="1:105" ht="12.75">
      <c r="A121" s="19"/>
      <c r="B121" s="8"/>
      <c r="C121" s="8"/>
      <c r="D121" s="9"/>
      <c r="E121" s="8"/>
      <c r="F121" s="10"/>
      <c r="G121" s="8"/>
      <c r="H121" s="8"/>
      <c r="I121" s="19"/>
      <c r="J121" s="8"/>
      <c r="K121" s="8"/>
      <c r="L121" s="9"/>
      <c r="M121" s="8"/>
      <c r="N121" s="10"/>
      <c r="O121" s="8"/>
      <c r="P121" s="19"/>
      <c r="Q121" s="8"/>
      <c r="R121" s="8"/>
      <c r="S121" s="9"/>
      <c r="T121" s="8"/>
      <c r="U121" s="10"/>
      <c r="V121" s="8"/>
      <c r="W121" s="19"/>
      <c r="X121" s="8"/>
      <c r="Y121" s="8"/>
      <c r="Z121" s="9"/>
      <c r="AA121" s="8"/>
      <c r="AB121" s="10"/>
      <c r="AC121" s="8"/>
      <c r="AD121" s="19"/>
      <c r="AE121" s="8"/>
      <c r="AF121" s="8"/>
      <c r="AG121" s="9"/>
      <c r="AH121" s="8"/>
      <c r="AI121" s="10"/>
      <c r="AJ121" s="8"/>
      <c r="AK121" s="19"/>
      <c r="AL121" s="8"/>
      <c r="AM121" s="8"/>
      <c r="AN121" s="9"/>
      <c r="AO121" s="8"/>
      <c r="AP121" s="10"/>
      <c r="AQ121" s="8"/>
      <c r="AR121" s="19"/>
      <c r="AS121" s="8"/>
      <c r="AT121" s="8"/>
      <c r="AU121" s="9"/>
      <c r="AV121" s="8"/>
      <c r="AW121" s="10"/>
      <c r="AX121" s="8"/>
      <c r="AY121" s="19"/>
      <c r="AZ121" s="8"/>
      <c r="BA121" s="8"/>
      <c r="BB121" s="9"/>
      <c r="BC121" s="8"/>
      <c r="BD121" s="10"/>
      <c r="BE121" s="19"/>
      <c r="BF121" s="8"/>
      <c r="BG121" s="8"/>
      <c r="BH121" s="9"/>
      <c r="BI121" s="8"/>
      <c r="BJ121" s="10"/>
      <c r="BK121" s="8"/>
      <c r="BL121" s="19"/>
      <c r="BM121" s="8"/>
      <c r="BN121" s="8"/>
      <c r="BO121" s="9"/>
      <c r="BP121" s="8"/>
      <c r="BQ121" s="10"/>
      <c r="BR121" s="8"/>
      <c r="BS121" s="19"/>
      <c r="BT121" s="8"/>
      <c r="BU121" s="8"/>
      <c r="BV121" s="9"/>
      <c r="BW121" s="8"/>
      <c r="BX121" s="10"/>
      <c r="BY121" s="8"/>
      <c r="BZ121" s="19"/>
      <c r="CA121" s="8"/>
      <c r="CB121" s="8"/>
      <c r="CC121" s="9"/>
      <c r="CD121" s="8"/>
      <c r="CE121" s="10"/>
      <c r="CF121" s="8"/>
      <c r="CG121" s="19"/>
      <c r="CH121" s="8"/>
      <c r="CI121" s="8"/>
      <c r="CJ121" s="9"/>
      <c r="CK121" s="8"/>
      <c r="CL121" s="10"/>
      <c r="CM121" s="8"/>
      <c r="CN121" s="19"/>
      <c r="CO121" s="8"/>
      <c r="CP121" s="8"/>
      <c r="CQ121" s="9"/>
      <c r="CR121" s="8"/>
      <c r="CS121" s="10"/>
      <c r="CT121" s="8"/>
      <c r="CU121" s="19"/>
      <c r="CV121" s="8"/>
      <c r="CW121" s="8"/>
      <c r="CX121" s="9"/>
      <c r="CY121" s="8"/>
      <c r="CZ121" s="10"/>
      <c r="DA121" s="8"/>
    </row>
    <row r="122" spans="1:105" s="29" customFormat="1" ht="12.75">
      <c r="A122" s="25"/>
      <c r="B122" s="26"/>
      <c r="C122" s="26"/>
      <c r="D122" s="27" t="s">
        <v>99</v>
      </c>
      <c r="E122" s="26" t="s">
        <v>100</v>
      </c>
      <c r="F122" s="28" t="s">
        <v>101</v>
      </c>
      <c r="G122" s="26" t="s">
        <v>100</v>
      </c>
      <c r="H122" s="26"/>
      <c r="I122" s="27" t="s">
        <v>99</v>
      </c>
      <c r="J122" s="26" t="s">
        <v>100</v>
      </c>
      <c r="K122" s="28" t="s">
        <v>101</v>
      </c>
      <c r="L122" s="26" t="s">
        <v>100</v>
      </c>
      <c r="M122" s="64"/>
      <c r="N122" s="65"/>
      <c r="O122" s="64"/>
      <c r="P122" s="27" t="s">
        <v>99</v>
      </c>
      <c r="Q122" s="26" t="s">
        <v>100</v>
      </c>
      <c r="R122" s="28" t="s">
        <v>101</v>
      </c>
      <c r="S122" s="26" t="s">
        <v>100</v>
      </c>
      <c r="T122" s="64"/>
      <c r="U122" s="65"/>
      <c r="V122" s="64"/>
      <c r="W122" s="27" t="s">
        <v>99</v>
      </c>
      <c r="X122" s="26" t="s">
        <v>100</v>
      </c>
      <c r="Y122" s="28" t="s">
        <v>101</v>
      </c>
      <c r="Z122" s="26" t="s">
        <v>100</v>
      </c>
      <c r="AA122" s="64"/>
      <c r="AB122" s="65"/>
      <c r="AC122" s="64"/>
      <c r="AD122" s="27" t="s">
        <v>99</v>
      </c>
      <c r="AE122" s="26" t="s">
        <v>100</v>
      </c>
      <c r="AF122" s="28" t="s">
        <v>101</v>
      </c>
      <c r="AG122" s="26" t="s">
        <v>100</v>
      </c>
      <c r="AH122" s="64"/>
      <c r="AI122" s="65"/>
      <c r="AJ122" s="64"/>
      <c r="AK122" s="27" t="s">
        <v>99</v>
      </c>
      <c r="AL122" s="26" t="s">
        <v>100</v>
      </c>
      <c r="AM122" s="28" t="s">
        <v>101</v>
      </c>
      <c r="AN122" s="26" t="s">
        <v>100</v>
      </c>
      <c r="AO122" s="64"/>
      <c r="AP122" s="65"/>
      <c r="AQ122" s="64"/>
      <c r="AR122" s="27" t="s">
        <v>99</v>
      </c>
      <c r="AS122" s="26" t="s">
        <v>100</v>
      </c>
      <c r="AT122" s="28" t="s">
        <v>101</v>
      </c>
      <c r="AU122" s="26" t="s">
        <v>100</v>
      </c>
      <c r="AV122" s="64"/>
      <c r="AW122" s="65"/>
      <c r="AX122" s="64"/>
      <c r="AY122" s="89" t="s">
        <v>99</v>
      </c>
      <c r="AZ122" s="44" t="s">
        <v>100</v>
      </c>
      <c r="BA122" s="88" t="s">
        <v>101</v>
      </c>
      <c r="BB122" s="44" t="s">
        <v>100</v>
      </c>
      <c r="BC122" s="64"/>
      <c r="BD122" s="65"/>
      <c r="BE122" s="89" t="s">
        <v>99</v>
      </c>
      <c r="BF122" s="44" t="s">
        <v>100</v>
      </c>
      <c r="BG122" s="88" t="s">
        <v>101</v>
      </c>
      <c r="BH122" s="44" t="s">
        <v>100</v>
      </c>
      <c r="BI122" s="64"/>
      <c r="BJ122" s="65"/>
      <c r="BK122" s="64"/>
      <c r="BL122" s="89" t="s">
        <v>99</v>
      </c>
      <c r="BM122" s="44" t="s">
        <v>100</v>
      </c>
      <c r="BN122" s="88" t="s">
        <v>101</v>
      </c>
      <c r="BO122" s="44" t="s">
        <v>100</v>
      </c>
      <c r="BP122" s="64"/>
      <c r="BQ122" s="65"/>
      <c r="BR122" s="64"/>
      <c r="BS122" s="89" t="s">
        <v>99</v>
      </c>
      <c r="BT122" s="44" t="s">
        <v>100</v>
      </c>
      <c r="BU122" s="88" t="s">
        <v>101</v>
      </c>
      <c r="BV122" s="44" t="s">
        <v>100</v>
      </c>
      <c r="BW122" s="64"/>
      <c r="BX122" s="65"/>
      <c r="BY122" s="64"/>
      <c r="BZ122" s="89" t="s">
        <v>99</v>
      </c>
      <c r="CA122" s="44" t="s">
        <v>100</v>
      </c>
      <c r="CB122" s="88" t="s">
        <v>101</v>
      </c>
      <c r="CC122" s="44" t="s">
        <v>100</v>
      </c>
      <c r="CD122" s="64"/>
      <c r="CE122" s="65"/>
      <c r="CF122" s="64"/>
      <c r="CG122" s="89" t="s">
        <v>99</v>
      </c>
      <c r="CH122" s="44" t="s">
        <v>100</v>
      </c>
      <c r="CI122" s="88" t="s">
        <v>101</v>
      </c>
      <c r="CJ122" s="44" t="s">
        <v>100</v>
      </c>
      <c r="CK122" s="64"/>
      <c r="CL122" s="65"/>
      <c r="CM122" s="64"/>
      <c r="CN122" s="89" t="s">
        <v>99</v>
      </c>
      <c r="CO122" s="44" t="s">
        <v>100</v>
      </c>
      <c r="CP122" s="88" t="s">
        <v>101</v>
      </c>
      <c r="CQ122" s="44" t="s">
        <v>100</v>
      </c>
      <c r="CR122" s="64"/>
      <c r="CS122" s="65"/>
      <c r="CT122" s="64"/>
      <c r="CU122" s="89" t="s">
        <v>99</v>
      </c>
      <c r="CV122" s="44" t="s">
        <v>100</v>
      </c>
      <c r="CW122" s="88" t="s">
        <v>101</v>
      </c>
      <c r="CX122" s="44" t="s">
        <v>100</v>
      </c>
      <c r="CY122" s="64"/>
      <c r="CZ122" s="65"/>
      <c r="DA122" s="64"/>
    </row>
    <row r="123" spans="1:105" ht="12.75">
      <c r="A123" s="12"/>
      <c r="B123" s="8"/>
      <c r="C123" s="8"/>
      <c r="D123" s="9"/>
      <c r="E123" s="8"/>
      <c r="F123" s="10"/>
      <c r="G123" s="8"/>
      <c r="H123" s="8"/>
      <c r="I123" s="9"/>
      <c r="J123" s="8"/>
      <c r="K123" s="10"/>
      <c r="L123" s="8"/>
      <c r="M123" s="54"/>
      <c r="N123" s="55"/>
      <c r="O123" s="54"/>
      <c r="P123" s="9"/>
      <c r="Q123" s="8"/>
      <c r="R123" s="10"/>
      <c r="S123" s="8"/>
      <c r="T123" s="54"/>
      <c r="U123" s="55"/>
      <c r="V123" s="54"/>
      <c r="W123" s="9"/>
      <c r="X123" s="8"/>
      <c r="Y123" s="10"/>
      <c r="Z123" s="8"/>
      <c r="AA123" s="54"/>
      <c r="AB123" s="55"/>
      <c r="AC123" s="54"/>
      <c r="AD123" s="9"/>
      <c r="AE123" s="8"/>
      <c r="AF123" s="10"/>
      <c r="AG123" s="8"/>
      <c r="AH123" s="54"/>
      <c r="AI123" s="55"/>
      <c r="AJ123" s="54"/>
      <c r="AK123" s="9"/>
      <c r="AL123" s="8"/>
      <c r="AM123" s="10"/>
      <c r="AN123" s="8"/>
      <c r="AO123" s="54"/>
      <c r="AP123" s="55"/>
      <c r="AQ123" s="54"/>
      <c r="AR123" s="9"/>
      <c r="AS123" s="8"/>
      <c r="AT123" s="10"/>
      <c r="AU123" s="8"/>
      <c r="AV123" s="54"/>
      <c r="AW123" s="55"/>
      <c r="AX123" s="54"/>
      <c r="AY123" s="9"/>
      <c r="AZ123" s="8"/>
      <c r="BA123" s="10"/>
      <c r="BB123" s="8"/>
      <c r="BC123" s="54"/>
      <c r="BD123" s="55"/>
      <c r="BE123" s="9"/>
      <c r="BF123" s="8"/>
      <c r="BG123" s="10"/>
      <c r="BH123" s="8"/>
      <c r="BI123" s="54"/>
      <c r="BJ123" s="55"/>
      <c r="BK123" s="54"/>
      <c r="BL123" s="9"/>
      <c r="BM123" s="8"/>
      <c r="BN123" s="10"/>
      <c r="BO123" s="8"/>
      <c r="BP123" s="54"/>
      <c r="BQ123" s="55"/>
      <c r="BR123" s="54"/>
      <c r="BS123" s="9"/>
      <c r="BT123" s="8"/>
      <c r="BU123" s="10"/>
      <c r="BV123" s="8"/>
      <c r="BW123" s="54"/>
      <c r="BX123" s="55"/>
      <c r="BY123" s="54"/>
      <c r="BZ123" s="9"/>
      <c r="CA123" s="8"/>
      <c r="CB123" s="10"/>
      <c r="CC123" s="8"/>
      <c r="CD123" s="54"/>
      <c r="CE123" s="55"/>
      <c r="CF123" s="54"/>
      <c r="CG123" s="9"/>
      <c r="CH123" s="8"/>
      <c r="CI123" s="10"/>
      <c r="CJ123" s="8"/>
      <c r="CK123" s="54"/>
      <c r="CL123" s="55"/>
      <c r="CM123" s="54"/>
      <c r="CN123" s="9"/>
      <c r="CO123" s="8"/>
      <c r="CP123" s="10"/>
      <c r="CQ123" s="8"/>
      <c r="CR123" s="54"/>
      <c r="CS123" s="55"/>
      <c r="CT123" s="54"/>
      <c r="CU123" s="9"/>
      <c r="CV123" s="8"/>
      <c r="CW123" s="10"/>
      <c r="CX123" s="8"/>
      <c r="CY123" s="54"/>
      <c r="CZ123" s="55"/>
      <c r="DA123" s="54"/>
    </row>
    <row r="124" spans="1:105" ht="12.75">
      <c r="A124" s="8" t="s">
        <v>50</v>
      </c>
      <c r="B124" s="8"/>
      <c r="C124" s="8"/>
      <c r="D124" s="9">
        <v>22520710.480000034</v>
      </c>
      <c r="E124" s="14">
        <f>+D124/D128</f>
        <v>0.852748762680607</v>
      </c>
      <c r="F124" s="10">
        <v>3321</v>
      </c>
      <c r="G124" s="14">
        <f>+F124/F128</f>
        <v>0.935229512813292</v>
      </c>
      <c r="H124" s="14"/>
      <c r="I124" s="9">
        <v>20817346.579999994</v>
      </c>
      <c r="J124" s="14">
        <f>+I124/I128</f>
        <v>0.8555754542572078</v>
      </c>
      <c r="K124" s="10">
        <v>3227</v>
      </c>
      <c r="L124" s="14">
        <f>+K124/K128</f>
        <v>0.9369918699186992</v>
      </c>
      <c r="M124" s="56"/>
      <c r="N124" s="55"/>
      <c r="O124" s="56"/>
      <c r="P124" s="9">
        <v>34127063.09000002</v>
      </c>
      <c r="Q124" s="14">
        <v>0.8993231804602694</v>
      </c>
      <c r="R124" s="10">
        <v>5371</v>
      </c>
      <c r="S124" s="14">
        <v>0.9546747244934234</v>
      </c>
      <c r="T124" s="56"/>
      <c r="U124" s="55"/>
      <c r="V124" s="56"/>
      <c r="W124" s="9">
        <v>41803227.08000009</v>
      </c>
      <c r="X124" s="14">
        <v>0.8962378872045581</v>
      </c>
      <c r="Y124" s="10">
        <v>6754</v>
      </c>
      <c r="Z124" s="14">
        <v>0.9558448910274554</v>
      </c>
      <c r="AA124" s="56"/>
      <c r="AB124" s="55"/>
      <c r="AC124" s="56"/>
      <c r="AD124" s="9">
        <v>45364222.54999994</v>
      </c>
      <c r="AE124" s="14">
        <v>0.9056244587550913</v>
      </c>
      <c r="AF124" s="10">
        <v>7608</v>
      </c>
      <c r="AG124" s="14">
        <v>0.9593947036569987</v>
      </c>
      <c r="AH124" s="56"/>
      <c r="AI124" s="55"/>
      <c r="AJ124" s="56"/>
      <c r="AK124" s="9">
        <v>51764375.45999986</v>
      </c>
      <c r="AL124" s="14">
        <v>0.9233926961091901</v>
      </c>
      <c r="AM124" s="10">
        <v>8735</v>
      </c>
      <c r="AN124" s="14">
        <v>0.966688800354139</v>
      </c>
      <c r="AO124" s="56"/>
      <c r="AP124" s="55"/>
      <c r="AQ124" s="56"/>
      <c r="AR124" s="9">
        <v>62725729.33999993</v>
      </c>
      <c r="AS124" s="14">
        <v>0.9281929456115177</v>
      </c>
      <c r="AT124" s="10">
        <v>10727</v>
      </c>
      <c r="AU124" s="14">
        <v>0.9698915009041591</v>
      </c>
      <c r="AV124" s="56"/>
      <c r="AW124" s="55"/>
      <c r="AX124" s="56"/>
      <c r="AY124" s="9">
        <v>67113788.91000004</v>
      </c>
      <c r="AZ124" s="14">
        <v>0.9219460284943203</v>
      </c>
      <c r="BA124" s="10">
        <v>11777</v>
      </c>
      <c r="BB124" s="14">
        <v>0.9686626089817404</v>
      </c>
      <c r="BC124" s="56"/>
      <c r="BD124" s="55"/>
      <c r="BE124" s="9">
        <v>59491745.07000019</v>
      </c>
      <c r="BF124" s="14">
        <v>0.9216925676835752</v>
      </c>
      <c r="BG124" s="10">
        <v>10730</v>
      </c>
      <c r="BH124" s="14">
        <v>0.9682367803645552</v>
      </c>
      <c r="BI124" s="56"/>
      <c r="BJ124" s="55"/>
      <c r="BK124" s="56"/>
      <c r="BL124" s="9">
        <v>51217150.580000125</v>
      </c>
      <c r="BM124" s="14">
        <v>0.9158379423987577</v>
      </c>
      <c r="BN124" s="10">
        <v>9865</v>
      </c>
      <c r="BO124" s="14">
        <v>0.9677261134000392</v>
      </c>
      <c r="BP124" s="56"/>
      <c r="BQ124" s="55"/>
      <c r="BR124" s="56"/>
      <c r="BS124" s="9">
        <v>47381577.40000004</v>
      </c>
      <c r="BT124" s="14">
        <v>0.8823832408287268</v>
      </c>
      <c r="BU124" s="10">
        <v>9677</v>
      </c>
      <c r="BV124" s="14">
        <v>0.9598293989287839</v>
      </c>
      <c r="BW124" s="56"/>
      <c r="BX124" s="55"/>
      <c r="BY124" s="56"/>
      <c r="BZ124" s="9">
        <v>43725445.57000013</v>
      </c>
      <c r="CA124" s="14">
        <v>0.8252466739136008</v>
      </c>
      <c r="CB124" s="10">
        <v>9333</v>
      </c>
      <c r="CC124" s="14">
        <v>0.9446356275303643</v>
      </c>
      <c r="CD124" s="56"/>
      <c r="CE124" s="55"/>
      <c r="CF124" s="56"/>
      <c r="CG124" s="9">
        <v>39008050.250000015</v>
      </c>
      <c r="CH124" s="14">
        <v>0.7575827153638375</v>
      </c>
      <c r="CI124" s="10">
        <v>8716</v>
      </c>
      <c r="CJ124" s="14">
        <v>0.9261424017003188</v>
      </c>
      <c r="CK124" s="56"/>
      <c r="CL124" s="55"/>
      <c r="CM124" s="56"/>
      <c r="CN124" s="9">
        <v>32613846.359999973</v>
      </c>
      <c r="CO124" s="14">
        <v>0.7145066687318795</v>
      </c>
      <c r="CP124" s="10">
        <v>7748</v>
      </c>
      <c r="CQ124" s="14">
        <v>0.915082083382544</v>
      </c>
      <c r="CR124" s="56"/>
      <c r="CS124" s="55"/>
      <c r="CT124" s="56"/>
      <c r="CU124" s="9">
        <v>46671950.06999995</v>
      </c>
      <c r="CV124" s="14">
        <v>0.6516110260418682</v>
      </c>
      <c r="CW124" s="10">
        <v>12046</v>
      </c>
      <c r="CX124" s="14">
        <v>0.8950144884463928</v>
      </c>
      <c r="CY124" s="56"/>
      <c r="CZ124" s="55"/>
      <c r="DA124" s="56"/>
    </row>
    <row r="125" spans="1:105" ht="12.75">
      <c r="A125" s="8" t="s">
        <v>51</v>
      </c>
      <c r="B125" s="8"/>
      <c r="C125" s="8"/>
      <c r="D125" s="9">
        <v>102003.39</v>
      </c>
      <c r="E125" s="14">
        <f>+D125/$D$128</f>
        <v>0.003862367694348481</v>
      </c>
      <c r="F125" s="10">
        <v>7</v>
      </c>
      <c r="G125" s="14">
        <f>+F125/$F$128</f>
        <v>0.0019712756969867645</v>
      </c>
      <c r="H125" s="14"/>
      <c r="I125" s="9">
        <v>96782.38</v>
      </c>
      <c r="J125" s="14">
        <f>+I125/$I$128</f>
        <v>0.003977674504019029</v>
      </c>
      <c r="K125" s="10">
        <v>7</v>
      </c>
      <c r="L125" s="14">
        <f>+K125/$K$128</f>
        <v>0.0020325203252032522</v>
      </c>
      <c r="M125" s="56"/>
      <c r="N125" s="55"/>
      <c r="O125" s="56"/>
      <c r="P125" s="9">
        <v>159148.46</v>
      </c>
      <c r="Q125" s="14">
        <v>0.004193911993982658</v>
      </c>
      <c r="R125" s="10">
        <v>13</v>
      </c>
      <c r="S125" s="14">
        <v>0.002310700319943121</v>
      </c>
      <c r="T125" s="56"/>
      <c r="U125" s="55"/>
      <c r="V125" s="56"/>
      <c r="W125" s="9">
        <v>146520.08</v>
      </c>
      <c r="X125" s="14">
        <v>0.003141308843954507</v>
      </c>
      <c r="Y125" s="10">
        <v>12</v>
      </c>
      <c r="Z125" s="14">
        <v>0.0016982734220209455</v>
      </c>
      <c r="AA125" s="56"/>
      <c r="AB125" s="55"/>
      <c r="AC125" s="56"/>
      <c r="AD125" s="9">
        <v>136911.33</v>
      </c>
      <c r="AE125" s="14">
        <v>0.0027332166663283836</v>
      </c>
      <c r="AF125" s="10">
        <v>12</v>
      </c>
      <c r="AG125" s="14">
        <v>0.0015132408575031526</v>
      </c>
      <c r="AH125" s="56"/>
      <c r="AI125" s="55"/>
      <c r="AJ125" s="56"/>
      <c r="AK125" s="9">
        <v>121884.34</v>
      </c>
      <c r="AL125" s="14">
        <v>0.0021742193994605083</v>
      </c>
      <c r="AM125" s="10">
        <v>11</v>
      </c>
      <c r="AN125" s="14">
        <v>0.001217352810978309</v>
      </c>
      <c r="AO125" s="56"/>
      <c r="AP125" s="55"/>
      <c r="AQ125" s="56"/>
      <c r="AR125" s="9">
        <v>79579.29</v>
      </c>
      <c r="AS125" s="14">
        <v>0.001177585918441762</v>
      </c>
      <c r="AT125" s="10">
        <v>9</v>
      </c>
      <c r="AU125" s="14">
        <v>0.0008137432188065099</v>
      </c>
      <c r="AV125" s="56"/>
      <c r="AW125" s="55"/>
      <c r="AX125" s="56"/>
      <c r="AY125" s="9">
        <v>73958.07</v>
      </c>
      <c r="AZ125" s="14">
        <v>0.0010159663165946696</v>
      </c>
      <c r="BA125" s="10">
        <v>9</v>
      </c>
      <c r="BB125" s="14">
        <v>0.0007402533311399902</v>
      </c>
      <c r="BC125" s="56"/>
      <c r="BD125" s="55"/>
      <c r="BE125" s="9">
        <v>57312.82</v>
      </c>
      <c r="BF125" s="14">
        <v>0.0008879349591246812</v>
      </c>
      <c r="BG125" s="10">
        <v>8</v>
      </c>
      <c r="BH125" s="14">
        <v>0.0007218913553510197</v>
      </c>
      <c r="BI125" s="56"/>
      <c r="BJ125" s="55"/>
      <c r="BK125" s="56"/>
      <c r="BL125" s="9">
        <v>43787.65</v>
      </c>
      <c r="BM125" s="14">
        <v>0.0007829875505439893</v>
      </c>
      <c r="BN125" s="10">
        <v>6</v>
      </c>
      <c r="BO125" s="14">
        <v>0.0005885815185403178</v>
      </c>
      <c r="BP125" s="56"/>
      <c r="BQ125" s="55"/>
      <c r="BR125" s="56"/>
      <c r="BS125" s="9">
        <v>40500.3</v>
      </c>
      <c r="BT125" s="14">
        <v>0.0007542337745922247</v>
      </c>
      <c r="BU125" s="10">
        <v>6</v>
      </c>
      <c r="BV125" s="14">
        <v>0.0005951200158698671</v>
      </c>
      <c r="BW125" s="56"/>
      <c r="BX125" s="55"/>
      <c r="BY125" s="56"/>
      <c r="BZ125" s="9">
        <v>37099.26</v>
      </c>
      <c r="CA125" s="14">
        <v>0.0007001881975254576</v>
      </c>
      <c r="CB125" s="10">
        <v>6</v>
      </c>
      <c r="CC125" s="14">
        <v>0.0006072874493927126</v>
      </c>
      <c r="CD125" s="56"/>
      <c r="CE125" s="55"/>
      <c r="CF125" s="56"/>
      <c r="CG125" s="9">
        <v>33580.55</v>
      </c>
      <c r="CH125" s="14">
        <v>0.0006521742073589311</v>
      </c>
      <c r="CI125" s="10">
        <v>6</v>
      </c>
      <c r="CJ125" s="14">
        <v>0.0006376195536663124</v>
      </c>
      <c r="CK125" s="56"/>
      <c r="CL125" s="55"/>
      <c r="CM125" s="56"/>
      <c r="CN125" s="9">
        <v>26029.07</v>
      </c>
      <c r="CO125" s="14">
        <v>0.0005702468789053595</v>
      </c>
      <c r="CP125" s="10">
        <v>5</v>
      </c>
      <c r="CQ125" s="14">
        <v>0.0005905279319711823</v>
      </c>
      <c r="CR125" s="56"/>
      <c r="CS125" s="55"/>
      <c r="CT125" s="56"/>
      <c r="CU125" s="9">
        <v>23206.4</v>
      </c>
      <c r="CV125" s="14">
        <v>0.0003239964495174998</v>
      </c>
      <c r="CW125" s="10">
        <v>5</v>
      </c>
      <c r="CX125" s="14">
        <v>0.00037149862545508583</v>
      </c>
      <c r="CY125" s="56"/>
      <c r="CZ125" s="55"/>
      <c r="DA125" s="56"/>
    </row>
    <row r="126" spans="1:105" ht="12.75">
      <c r="A126" s="8" t="s">
        <v>126</v>
      </c>
      <c r="B126" s="8"/>
      <c r="C126" s="8"/>
      <c r="D126" s="9">
        <v>3786835.42</v>
      </c>
      <c r="E126" s="14">
        <f>+D126/$D$128</f>
        <v>0.14338886962504444</v>
      </c>
      <c r="F126" s="10">
        <v>223</v>
      </c>
      <c r="G126" s="14">
        <f>+F126/$F$128</f>
        <v>0.0627992114897212</v>
      </c>
      <c r="H126" s="14"/>
      <c r="I126" s="9">
        <v>3417268.67</v>
      </c>
      <c r="J126" s="14">
        <f>+I126/$I$128</f>
        <v>0.14044687123877317</v>
      </c>
      <c r="K126" s="10">
        <v>210</v>
      </c>
      <c r="L126" s="14">
        <f>+K126/$K$128</f>
        <v>0.06097560975609756</v>
      </c>
      <c r="M126" s="56"/>
      <c r="N126" s="55"/>
      <c r="O126" s="56"/>
      <c r="P126" s="9">
        <v>3661284.78</v>
      </c>
      <c r="Q126" s="14">
        <v>0.09648290754574791</v>
      </c>
      <c r="R126" s="10">
        <v>242</v>
      </c>
      <c r="S126" s="14">
        <v>0.043014575186633486</v>
      </c>
      <c r="T126" s="56"/>
      <c r="U126" s="55"/>
      <c r="V126" s="56"/>
      <c r="W126" s="9">
        <v>4693256.53</v>
      </c>
      <c r="X126" s="14">
        <v>0.10062080395148734</v>
      </c>
      <c r="Y126" s="10">
        <v>300</v>
      </c>
      <c r="Z126" s="14">
        <v>0.04245683555052363</v>
      </c>
      <c r="AA126" s="56"/>
      <c r="AB126" s="55"/>
      <c r="AC126" s="56"/>
      <c r="AD126" s="9">
        <v>4590515.16</v>
      </c>
      <c r="AE126" s="14">
        <v>0.09164232457858022</v>
      </c>
      <c r="AF126" s="10">
        <v>310</v>
      </c>
      <c r="AG126" s="14">
        <v>0.03909205548549811</v>
      </c>
      <c r="AH126" s="56"/>
      <c r="AI126" s="55"/>
      <c r="AJ126" s="56"/>
      <c r="AK126" s="9">
        <v>4172636.57</v>
      </c>
      <c r="AL126" s="14">
        <v>0.07443308449134943</v>
      </c>
      <c r="AM126" s="10">
        <v>290</v>
      </c>
      <c r="AN126" s="14">
        <v>0.03209384683488269</v>
      </c>
      <c r="AO126" s="56"/>
      <c r="AP126" s="55"/>
      <c r="AQ126" s="56"/>
      <c r="AR126" s="9">
        <v>4773021.54</v>
      </c>
      <c r="AS126" s="14">
        <v>0.07062946847004054</v>
      </c>
      <c r="AT126" s="10">
        <v>324</v>
      </c>
      <c r="AU126" s="14">
        <v>0.029294755877034357</v>
      </c>
      <c r="AV126" s="56"/>
      <c r="AW126" s="55"/>
      <c r="AX126" s="56"/>
      <c r="AY126" s="9">
        <v>5608042.399999998</v>
      </c>
      <c r="AZ126" s="14">
        <v>0.07703800518908523</v>
      </c>
      <c r="BA126" s="10">
        <v>372</v>
      </c>
      <c r="BB126" s="14">
        <v>0.03059713768711959</v>
      </c>
      <c r="BC126" s="56"/>
      <c r="BD126" s="55"/>
      <c r="BE126" s="9">
        <v>4997133.71</v>
      </c>
      <c r="BF126" s="14">
        <v>0.07741949735730007</v>
      </c>
      <c r="BG126" s="10">
        <v>344</v>
      </c>
      <c r="BH126" s="14">
        <v>0.031041328280093847</v>
      </c>
      <c r="BI126" s="56"/>
      <c r="BJ126" s="55"/>
      <c r="BK126" s="56"/>
      <c r="BL126" s="9">
        <v>4662875.59</v>
      </c>
      <c r="BM126" s="14">
        <v>0.08337907005069838</v>
      </c>
      <c r="BN126" s="10">
        <v>323</v>
      </c>
      <c r="BO126" s="14">
        <v>0.031685305081420444</v>
      </c>
      <c r="BP126" s="56"/>
      <c r="BQ126" s="55"/>
      <c r="BR126" s="56"/>
      <c r="BS126" s="9">
        <v>6275199.410000002</v>
      </c>
      <c r="BT126" s="14">
        <v>0.11686252539668109</v>
      </c>
      <c r="BU126" s="10">
        <v>399</v>
      </c>
      <c r="BV126" s="14">
        <v>0.03957548105534616</v>
      </c>
      <c r="BW126" s="56"/>
      <c r="BX126" s="55"/>
      <c r="BY126" s="56"/>
      <c r="BZ126" s="9">
        <v>9222152.900000006</v>
      </c>
      <c r="CA126" s="14">
        <v>0.1740531378888737</v>
      </c>
      <c r="CB126" s="10">
        <v>541</v>
      </c>
      <c r="CC126" s="14">
        <v>0.054757085020242915</v>
      </c>
      <c r="CD126" s="56"/>
      <c r="CE126" s="55"/>
      <c r="CF126" s="56"/>
      <c r="CG126" s="9">
        <v>12448522.629999997</v>
      </c>
      <c r="CH126" s="14">
        <v>0.2417651104288037</v>
      </c>
      <c r="CI126" s="10">
        <v>689</v>
      </c>
      <c r="CJ126" s="14">
        <v>0.07321997874601488</v>
      </c>
      <c r="CK126" s="56"/>
      <c r="CL126" s="55"/>
      <c r="CM126" s="56"/>
      <c r="CN126" s="9">
        <v>13005389.740000006</v>
      </c>
      <c r="CO126" s="14">
        <v>0.2849230843892151</v>
      </c>
      <c r="CP126" s="10">
        <v>714</v>
      </c>
      <c r="CQ126" s="14">
        <v>0.08432738868548482</v>
      </c>
      <c r="CR126" s="56"/>
      <c r="CS126" s="55"/>
      <c r="CT126" s="56"/>
      <c r="CU126" s="9">
        <v>24930319.780000042</v>
      </c>
      <c r="CV126" s="14">
        <v>0.3480649775086144</v>
      </c>
      <c r="CW126" s="10">
        <v>1408</v>
      </c>
      <c r="CX126" s="14">
        <v>0.10461401292815217</v>
      </c>
      <c r="CY126" s="56"/>
      <c r="CZ126" s="55"/>
      <c r="DA126" s="56"/>
    </row>
    <row r="127" spans="1:105" ht="12.75">
      <c r="A127" s="8"/>
      <c r="B127" s="8"/>
      <c r="C127" s="8"/>
      <c r="D127" s="9"/>
      <c r="E127" s="9"/>
      <c r="F127" s="10"/>
      <c r="G127" s="9"/>
      <c r="H127" s="9"/>
      <c r="I127" s="9"/>
      <c r="J127" s="9"/>
      <c r="K127" s="10"/>
      <c r="L127" s="9"/>
      <c r="M127" s="63"/>
      <c r="N127" s="55"/>
      <c r="O127" s="63"/>
      <c r="P127" s="9"/>
      <c r="Q127" s="9"/>
      <c r="R127" s="10"/>
      <c r="S127" s="9"/>
      <c r="T127" s="63"/>
      <c r="U127" s="55"/>
      <c r="V127" s="63"/>
      <c r="W127" s="9"/>
      <c r="X127" s="9"/>
      <c r="Y127" s="10"/>
      <c r="Z127" s="9"/>
      <c r="AA127" s="63"/>
      <c r="AB127" s="55"/>
      <c r="AC127" s="63"/>
      <c r="AD127" s="9"/>
      <c r="AE127" s="9"/>
      <c r="AF127" s="10"/>
      <c r="AG127" s="9"/>
      <c r="AH127" s="63"/>
      <c r="AI127" s="55"/>
      <c r="AJ127" s="63"/>
      <c r="AK127" s="9"/>
      <c r="AL127" s="9"/>
      <c r="AM127" s="10"/>
      <c r="AN127" s="9"/>
      <c r="AO127" s="63"/>
      <c r="AP127" s="55"/>
      <c r="AQ127" s="63"/>
      <c r="AR127" s="9"/>
      <c r="AS127" s="9"/>
      <c r="AT127" s="10"/>
      <c r="AU127" s="9"/>
      <c r="AV127" s="63"/>
      <c r="AW127" s="55"/>
      <c r="AX127" s="63"/>
      <c r="AY127" s="9"/>
      <c r="AZ127" s="9"/>
      <c r="BA127" s="10"/>
      <c r="BB127" s="9"/>
      <c r="BC127" s="63"/>
      <c r="BD127" s="55"/>
      <c r="BE127" s="9"/>
      <c r="BF127" s="9"/>
      <c r="BG127" s="10"/>
      <c r="BH127" s="9"/>
      <c r="BI127" s="63"/>
      <c r="BJ127" s="55"/>
      <c r="BK127" s="63"/>
      <c r="BL127" s="9"/>
      <c r="BM127" s="9"/>
      <c r="BN127" s="10"/>
      <c r="BO127" s="9"/>
      <c r="BP127" s="63"/>
      <c r="BQ127" s="55"/>
      <c r="BR127" s="63"/>
      <c r="BS127" s="9"/>
      <c r="BT127" s="9"/>
      <c r="BU127" s="10"/>
      <c r="BV127" s="9"/>
      <c r="BW127" s="63"/>
      <c r="BX127" s="55"/>
      <c r="BY127" s="63"/>
      <c r="BZ127" s="9"/>
      <c r="CA127" s="9"/>
      <c r="CB127" s="10"/>
      <c r="CC127" s="9"/>
      <c r="CD127" s="63"/>
      <c r="CE127" s="55"/>
      <c r="CF127" s="63"/>
      <c r="CG127" s="9"/>
      <c r="CH127" s="9"/>
      <c r="CI127" s="10"/>
      <c r="CJ127" s="9"/>
      <c r="CK127" s="63"/>
      <c r="CL127" s="55"/>
      <c r="CM127" s="63"/>
      <c r="CN127" s="9"/>
      <c r="CO127" s="9"/>
      <c r="CP127" s="10"/>
      <c r="CQ127" s="9"/>
      <c r="CR127" s="63"/>
      <c r="CS127" s="55"/>
      <c r="CT127" s="63"/>
      <c r="CU127" s="9"/>
      <c r="CV127" s="9"/>
      <c r="CW127" s="10"/>
      <c r="CX127" s="9"/>
      <c r="CY127" s="63"/>
      <c r="CZ127" s="55"/>
      <c r="DA127" s="63"/>
    </row>
    <row r="128" spans="1:105" s="1" customFormat="1" ht="13.5" thickBot="1">
      <c r="A128" s="8"/>
      <c r="B128" s="12"/>
      <c r="C128" s="12"/>
      <c r="D128" s="21">
        <f>SUM(D124:D126)</f>
        <v>26409549.290000036</v>
      </c>
      <c r="E128" s="20"/>
      <c r="F128" s="22">
        <f>SUM(F124:F126)</f>
        <v>3551</v>
      </c>
      <c r="G128" s="20"/>
      <c r="H128" s="20"/>
      <c r="I128" s="21">
        <f>SUM(I124:I126)</f>
        <v>24331397.629999995</v>
      </c>
      <c r="J128" s="20"/>
      <c r="K128" s="22">
        <f>SUM(K124:K126)</f>
        <v>3444</v>
      </c>
      <c r="L128" s="20"/>
      <c r="M128" s="30"/>
      <c r="N128" s="31"/>
      <c r="O128" s="30"/>
      <c r="P128" s="21">
        <v>37947496.33000002</v>
      </c>
      <c r="Q128" s="20"/>
      <c r="R128" s="22">
        <v>5626</v>
      </c>
      <c r="S128" s="20"/>
      <c r="T128" s="30"/>
      <c r="U128" s="31"/>
      <c r="V128" s="30"/>
      <c r="W128" s="21">
        <f>SUM(W124:W127)</f>
        <v>46643003.69000009</v>
      </c>
      <c r="X128" s="20"/>
      <c r="Y128" s="22">
        <f>SUM(Y124:Y127)</f>
        <v>7066</v>
      </c>
      <c r="Z128" s="20"/>
      <c r="AA128" s="30"/>
      <c r="AB128" s="31"/>
      <c r="AC128" s="30"/>
      <c r="AD128" s="21">
        <f>SUM(AD124:AD127)</f>
        <v>50091649.03999993</v>
      </c>
      <c r="AE128" s="20"/>
      <c r="AF128" s="22">
        <f>SUM(AF124:AF127)</f>
        <v>7930</v>
      </c>
      <c r="AG128" s="20"/>
      <c r="AH128" s="30"/>
      <c r="AI128" s="31"/>
      <c r="AJ128" s="30"/>
      <c r="AK128" s="21">
        <f>SUM(AK124:AK127)</f>
        <v>56058896.36999986</v>
      </c>
      <c r="AL128" s="20"/>
      <c r="AM128" s="22">
        <f>SUM(AM124:AM127)</f>
        <v>9036</v>
      </c>
      <c r="AN128" s="20"/>
      <c r="AO128" s="30"/>
      <c r="AP128" s="31"/>
      <c r="AQ128" s="30"/>
      <c r="AR128" s="21">
        <f>SUM(AR124:AR127)</f>
        <v>67578330.16999993</v>
      </c>
      <c r="AS128" s="20"/>
      <c r="AT128" s="22">
        <f>SUM(AT124:AT127)</f>
        <v>11060</v>
      </c>
      <c r="AU128" s="20"/>
      <c r="AV128" s="30"/>
      <c r="AW128" s="31"/>
      <c r="AX128" s="30"/>
      <c r="AY128" s="21">
        <f>SUM(AY124:AY127)</f>
        <v>72795789.38000003</v>
      </c>
      <c r="AZ128" s="20"/>
      <c r="BA128" s="22">
        <f>SUM(BA124:BA127)</f>
        <v>12158</v>
      </c>
      <c r="BB128" s="20"/>
      <c r="BC128" s="30"/>
      <c r="BD128" s="31"/>
      <c r="BE128" s="21">
        <f>SUM(BE124:BE127)</f>
        <v>64546191.60000019</v>
      </c>
      <c r="BF128" s="20"/>
      <c r="BG128" s="22">
        <f>SUM(BG124:BG127)</f>
        <v>11082</v>
      </c>
      <c r="BH128" s="20"/>
      <c r="BI128" s="30"/>
      <c r="BJ128" s="31"/>
      <c r="BK128" s="30"/>
      <c r="BL128" s="21">
        <f>SUM(BL124:BL127)</f>
        <v>55923813.82000013</v>
      </c>
      <c r="BM128" s="20"/>
      <c r="BN128" s="22">
        <f>SUM(BN124:BN127)</f>
        <v>10194</v>
      </c>
      <c r="BO128" s="20"/>
      <c r="BP128" s="30"/>
      <c r="BQ128" s="31"/>
      <c r="BR128" s="30"/>
      <c r="BS128" s="21">
        <f>SUM(BS124:BS127)</f>
        <v>53697277.110000044</v>
      </c>
      <c r="BT128" s="20"/>
      <c r="BU128" s="22">
        <f>SUM(BU124:BU127)</f>
        <v>10082</v>
      </c>
      <c r="BV128" s="20"/>
      <c r="BW128" s="30"/>
      <c r="BX128" s="31"/>
      <c r="BY128" s="30"/>
      <c r="BZ128" s="21">
        <f>SUM(BZ124:BZ127)</f>
        <v>52984697.73000013</v>
      </c>
      <c r="CA128" s="20"/>
      <c r="CB128" s="22">
        <f>SUM(CB124:CB127)</f>
        <v>9880</v>
      </c>
      <c r="CC128" s="20"/>
      <c r="CD128" s="30"/>
      <c r="CE128" s="31"/>
      <c r="CF128" s="30"/>
      <c r="CG128" s="21">
        <f>SUM(CG124:CG127)</f>
        <v>51490153.43000001</v>
      </c>
      <c r="CH128" s="20"/>
      <c r="CI128" s="22">
        <f>SUM(CI124:CI127)</f>
        <v>9411</v>
      </c>
      <c r="CJ128" s="20"/>
      <c r="CK128" s="30"/>
      <c r="CL128" s="31"/>
      <c r="CM128" s="30"/>
      <c r="CN128" s="21">
        <f>SUM(CN124:CN127)</f>
        <v>45645265.16999998</v>
      </c>
      <c r="CO128" s="20"/>
      <c r="CP128" s="22">
        <f>SUM(CP124:CP127)</f>
        <v>8467</v>
      </c>
      <c r="CQ128" s="20"/>
      <c r="CR128" s="30"/>
      <c r="CS128" s="31"/>
      <c r="CT128" s="30"/>
      <c r="CU128" s="21">
        <f>SUM(CU124:CU127)</f>
        <v>71625476.24999999</v>
      </c>
      <c r="CV128" s="20"/>
      <c r="CW128" s="22">
        <f>SUM(CW124:CW127)</f>
        <v>13459</v>
      </c>
      <c r="CX128" s="20"/>
      <c r="CY128" s="30"/>
      <c r="CZ128" s="31"/>
      <c r="DA128" s="30"/>
    </row>
    <row r="129" spans="1:105" ht="13.5" thickTop="1">
      <c r="A129" s="39"/>
      <c r="B129" s="34"/>
      <c r="C129" s="34"/>
      <c r="D129" s="35"/>
      <c r="E129" s="35"/>
      <c r="F129" s="36"/>
      <c r="G129" s="35"/>
      <c r="H129" s="35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</row>
    <row r="130" spans="1:105" ht="12.75">
      <c r="A130" s="12" t="s">
        <v>104</v>
      </c>
      <c r="B130" s="34"/>
      <c r="C130" s="34"/>
      <c r="D130" s="35"/>
      <c r="E130" s="34"/>
      <c r="F130" s="36"/>
      <c r="G130" s="34"/>
      <c r="H130" s="34"/>
      <c r="I130" s="54"/>
      <c r="J130" s="54"/>
      <c r="K130" s="54"/>
      <c r="L130" s="63"/>
      <c r="M130" s="56"/>
      <c r="N130" s="55"/>
      <c r="O130" s="56"/>
      <c r="P130" s="54"/>
      <c r="Q130" s="54"/>
      <c r="R130" s="54"/>
      <c r="S130" s="63"/>
      <c r="T130" s="56"/>
      <c r="U130" s="55"/>
      <c r="V130" s="56"/>
      <c r="W130" s="54"/>
      <c r="X130" s="54"/>
      <c r="Y130" s="54"/>
      <c r="Z130" s="63"/>
      <c r="AA130" s="56"/>
      <c r="AB130" s="55"/>
      <c r="AC130" s="56"/>
      <c r="AD130" s="54"/>
      <c r="AE130" s="54"/>
      <c r="AF130" s="54"/>
      <c r="AG130" s="63"/>
      <c r="AH130" s="56"/>
      <c r="AI130" s="55"/>
      <c r="AJ130" s="56"/>
      <c r="AK130" s="54"/>
      <c r="AL130" s="54"/>
      <c r="AM130" s="54"/>
      <c r="AN130" s="63"/>
      <c r="AO130" s="56"/>
      <c r="AP130" s="55"/>
      <c r="AQ130" s="56"/>
      <c r="AR130" s="54"/>
      <c r="AS130" s="54"/>
      <c r="AT130" s="54"/>
      <c r="AU130" s="63"/>
      <c r="AV130" s="56"/>
      <c r="AW130" s="55"/>
      <c r="AX130" s="56"/>
      <c r="AY130" s="54"/>
      <c r="AZ130" s="54"/>
      <c r="BA130" s="54"/>
      <c r="BB130" s="63"/>
      <c r="BC130" s="56"/>
      <c r="BD130" s="55"/>
      <c r="BE130" s="54"/>
      <c r="BF130" s="54"/>
      <c r="BG130" s="54"/>
      <c r="BH130" s="63"/>
      <c r="BI130" s="56"/>
      <c r="BJ130" s="55"/>
      <c r="BK130" s="56"/>
      <c r="BL130" s="54"/>
      <c r="BM130" s="54"/>
      <c r="BN130" s="54"/>
      <c r="BO130" s="63"/>
      <c r="BP130" s="56"/>
      <c r="BQ130" s="55"/>
      <c r="BR130" s="56"/>
      <c r="BS130" s="54"/>
      <c r="BT130" s="54"/>
      <c r="BU130" s="54"/>
      <c r="BV130" s="63"/>
      <c r="BW130" s="56"/>
      <c r="BX130" s="55"/>
      <c r="BY130" s="56"/>
      <c r="BZ130" s="54"/>
      <c r="CA130" s="54"/>
      <c r="CB130" s="54"/>
      <c r="CC130" s="63"/>
      <c r="CD130" s="56"/>
      <c r="CE130" s="55"/>
      <c r="CF130" s="56"/>
      <c r="CG130" s="54"/>
      <c r="CH130" s="54"/>
      <c r="CI130" s="54"/>
      <c r="CJ130" s="63"/>
      <c r="CK130" s="56"/>
      <c r="CL130" s="55"/>
      <c r="CM130" s="56"/>
      <c r="CN130" s="54"/>
      <c r="CO130" s="54"/>
      <c r="CP130" s="54"/>
      <c r="CQ130" s="63"/>
      <c r="CR130" s="56"/>
      <c r="CS130" s="55"/>
      <c r="CT130" s="56"/>
      <c r="CU130" s="54"/>
      <c r="CV130" s="54"/>
      <c r="CW130" s="54"/>
      <c r="CX130" s="63"/>
      <c r="CY130" s="56"/>
      <c r="CZ130" s="55"/>
      <c r="DA130" s="56"/>
    </row>
    <row r="131" spans="1:105" s="1" customFormat="1" ht="12.75">
      <c r="A131" s="12" t="s">
        <v>139</v>
      </c>
      <c r="B131" s="34"/>
      <c r="C131" s="34"/>
      <c r="D131" s="35"/>
      <c r="E131" s="34"/>
      <c r="F131" s="36"/>
      <c r="G131" s="34"/>
      <c r="H131" s="34"/>
      <c r="I131" s="54"/>
      <c r="J131" s="54"/>
      <c r="K131" s="54"/>
      <c r="L131" s="63"/>
      <c r="M131" s="54"/>
      <c r="N131" s="55"/>
      <c r="O131" s="54"/>
      <c r="P131" s="54"/>
      <c r="Q131" s="54"/>
      <c r="R131" s="54"/>
      <c r="S131" s="63"/>
      <c r="T131" s="54"/>
      <c r="U131" s="55"/>
      <c r="V131" s="54"/>
      <c r="W131" s="54"/>
      <c r="X131" s="54"/>
      <c r="Y131" s="54"/>
      <c r="Z131" s="63"/>
      <c r="AA131" s="54"/>
      <c r="AB131" s="55"/>
      <c r="AC131" s="54"/>
      <c r="AD131" s="54"/>
      <c r="AE131" s="54"/>
      <c r="AF131" s="54"/>
      <c r="AG131" s="63"/>
      <c r="AH131" s="54"/>
      <c r="AI131" s="55"/>
      <c r="AJ131" s="54"/>
      <c r="AK131" s="54"/>
      <c r="AL131" s="54"/>
      <c r="AM131" s="54"/>
      <c r="AN131" s="63"/>
      <c r="AO131" s="54"/>
      <c r="AP131" s="55"/>
      <c r="AQ131" s="54"/>
      <c r="AR131" s="54"/>
      <c r="AS131" s="54"/>
      <c r="AT131" s="54"/>
      <c r="AU131" s="63"/>
      <c r="AV131" s="54"/>
      <c r="AW131" s="55"/>
      <c r="AX131" s="54"/>
      <c r="AY131" s="54"/>
      <c r="AZ131" s="54"/>
      <c r="BA131" s="54"/>
      <c r="BB131" s="63"/>
      <c r="BC131" s="54"/>
      <c r="BD131" s="55"/>
      <c r="BE131" s="54"/>
      <c r="BF131" s="54"/>
      <c r="BG131" s="54"/>
      <c r="BH131" s="63"/>
      <c r="BI131" s="54"/>
      <c r="BJ131" s="55"/>
      <c r="BK131" s="54"/>
      <c r="BL131" s="54"/>
      <c r="BM131" s="54"/>
      <c r="BN131" s="54"/>
      <c r="BO131" s="63"/>
      <c r="BP131" s="54"/>
      <c r="BQ131" s="55"/>
      <c r="BR131" s="54"/>
      <c r="BS131" s="54"/>
      <c r="BT131" s="54"/>
      <c r="BU131" s="54"/>
      <c r="BV131" s="63"/>
      <c r="BW131" s="54"/>
      <c r="BX131" s="55"/>
      <c r="BY131" s="54"/>
      <c r="BZ131" s="54"/>
      <c r="CA131" s="54"/>
      <c r="CB131" s="54"/>
      <c r="CC131" s="63"/>
      <c r="CD131" s="54"/>
      <c r="CE131" s="55"/>
      <c r="CF131" s="54"/>
      <c r="CG131" s="54"/>
      <c r="CH131" s="54"/>
      <c r="CI131" s="54"/>
      <c r="CJ131" s="63"/>
      <c r="CK131" s="54"/>
      <c r="CL131" s="55"/>
      <c r="CM131" s="54"/>
      <c r="CN131" s="54"/>
      <c r="CO131" s="54"/>
      <c r="CP131" s="54"/>
      <c r="CQ131" s="63"/>
      <c r="CR131" s="54"/>
      <c r="CS131" s="55"/>
      <c r="CT131" s="54"/>
      <c r="CU131" s="54"/>
      <c r="CV131" s="54"/>
      <c r="CW131" s="54"/>
      <c r="CX131" s="63"/>
      <c r="CY131" s="54"/>
      <c r="CZ131" s="55"/>
      <c r="DA131" s="54"/>
    </row>
    <row r="132" spans="1:105" ht="12.75">
      <c r="A132" s="39"/>
      <c r="B132" s="34"/>
      <c r="C132" s="34"/>
      <c r="D132" s="35"/>
      <c r="E132" s="34"/>
      <c r="F132" s="36"/>
      <c r="G132" s="34"/>
      <c r="H132" s="34"/>
      <c r="I132" s="54"/>
      <c r="J132" s="53"/>
      <c r="K132" s="53"/>
      <c r="L132" s="30"/>
      <c r="M132" s="53"/>
      <c r="N132" s="31"/>
      <c r="O132" s="57"/>
      <c r="P132" s="54"/>
      <c r="Q132" s="53"/>
      <c r="R132" s="53"/>
      <c r="S132" s="30"/>
      <c r="T132" s="53"/>
      <c r="U132" s="31"/>
      <c r="V132" s="57"/>
      <c r="W132" s="54"/>
      <c r="X132" s="53"/>
      <c r="Y132" s="53"/>
      <c r="Z132" s="30"/>
      <c r="AA132" s="53"/>
      <c r="AB132" s="31"/>
      <c r="AC132" s="57"/>
      <c r="AD132" s="54"/>
      <c r="AE132" s="53"/>
      <c r="AF132" s="53"/>
      <c r="AG132" s="30"/>
      <c r="AH132" s="53"/>
      <c r="AI132" s="31"/>
      <c r="AJ132" s="57"/>
      <c r="AK132" s="54"/>
      <c r="AL132" s="53"/>
      <c r="AM132" s="53"/>
      <c r="AN132" s="30"/>
      <c r="AO132" s="53"/>
      <c r="AP132" s="31"/>
      <c r="AQ132" s="57"/>
      <c r="AR132" s="54"/>
      <c r="AS132" s="53"/>
      <c r="AT132" s="53"/>
      <c r="AU132" s="30"/>
      <c r="AV132" s="53"/>
      <c r="AW132" s="31"/>
      <c r="AX132" s="57"/>
      <c r="AY132" s="54"/>
      <c r="AZ132" s="53"/>
      <c r="BA132" s="53"/>
      <c r="BB132" s="30"/>
      <c r="BC132" s="53"/>
      <c r="BD132" s="31"/>
      <c r="BE132" s="54"/>
      <c r="BF132" s="53"/>
      <c r="BG132" s="53"/>
      <c r="BH132" s="30"/>
      <c r="BI132" s="53"/>
      <c r="BJ132" s="31"/>
      <c r="BK132" s="57"/>
      <c r="BL132" s="54"/>
      <c r="BM132" s="53"/>
      <c r="BN132" s="53"/>
      <c r="BO132" s="30"/>
      <c r="BP132" s="53"/>
      <c r="BQ132" s="31"/>
      <c r="BR132" s="57"/>
      <c r="BS132" s="54"/>
      <c r="BT132" s="53"/>
      <c r="BU132" s="53"/>
      <c r="BV132" s="30"/>
      <c r="BW132" s="53"/>
      <c r="BX132" s="31"/>
      <c r="BY132" s="57"/>
      <c r="BZ132" s="54"/>
      <c r="CA132" s="53"/>
      <c r="CB132" s="53"/>
      <c r="CC132" s="30"/>
      <c r="CD132" s="53"/>
      <c r="CE132" s="31"/>
      <c r="CF132" s="57"/>
      <c r="CG132" s="54"/>
      <c r="CH132" s="53"/>
      <c r="CI132" s="53"/>
      <c r="CJ132" s="30"/>
      <c r="CK132" s="53"/>
      <c r="CL132" s="31"/>
      <c r="CM132" s="57"/>
      <c r="CN132" s="54"/>
      <c r="CO132" s="53"/>
      <c r="CP132" s="53"/>
      <c r="CQ132" s="30"/>
      <c r="CR132" s="53"/>
      <c r="CS132" s="31"/>
      <c r="CT132" s="57"/>
      <c r="CU132" s="54"/>
      <c r="CV132" s="53"/>
      <c r="CW132" s="53"/>
      <c r="CX132" s="30"/>
      <c r="CY132" s="53"/>
      <c r="CZ132" s="31"/>
      <c r="DA132" s="57"/>
    </row>
    <row r="133" spans="4:16" ht="12.75">
      <c r="D133" s="2"/>
      <c r="I133" s="60"/>
      <c r="J133" s="49"/>
      <c r="K133" s="49"/>
      <c r="L133" s="50"/>
      <c r="M133" s="49"/>
      <c r="N133" s="51"/>
      <c r="O133" s="49"/>
      <c r="P133" s="49"/>
    </row>
    <row r="134" spans="4:16" ht="12.75">
      <c r="D134" s="2"/>
      <c r="I134" s="49"/>
      <c r="J134" s="49"/>
      <c r="K134" s="49"/>
      <c r="L134" s="50"/>
      <c r="M134" s="49"/>
      <c r="N134" s="51"/>
      <c r="O134" s="49"/>
      <c r="P134" s="49"/>
    </row>
    <row r="135" spans="4:14" ht="12.75">
      <c r="D135" s="2"/>
      <c r="L135" s="2"/>
      <c r="N135" s="3"/>
    </row>
    <row r="136" spans="4:15" ht="12.75">
      <c r="D136" s="2"/>
      <c r="I136" s="59"/>
      <c r="J136" s="49"/>
      <c r="K136" s="49"/>
      <c r="L136" s="50"/>
      <c r="M136" s="49"/>
      <c r="N136" s="51"/>
      <c r="O136" s="49"/>
    </row>
    <row r="137" spans="4:15" ht="12.75">
      <c r="D137" s="2"/>
      <c r="I137" s="59"/>
      <c r="J137" s="49"/>
      <c r="K137" s="49"/>
      <c r="L137" s="50"/>
      <c r="M137" s="49"/>
      <c r="N137" s="51"/>
      <c r="O137" s="49"/>
    </row>
    <row r="138" spans="4:15" ht="12.75">
      <c r="D138" s="2"/>
      <c r="I138" s="49"/>
      <c r="J138" s="60"/>
      <c r="K138" s="60"/>
      <c r="L138" s="47"/>
      <c r="M138" s="60"/>
      <c r="N138" s="48"/>
      <c r="O138" s="60"/>
    </row>
    <row r="139" spans="4:15" ht="12.75">
      <c r="D139" s="2"/>
      <c r="I139" s="60"/>
      <c r="J139" s="49"/>
      <c r="K139" s="49"/>
      <c r="L139" s="50"/>
      <c r="M139" s="49"/>
      <c r="N139" s="51"/>
      <c r="O139" s="49"/>
    </row>
    <row r="140" spans="4:15" ht="12.75">
      <c r="D140" s="2"/>
      <c r="I140" s="49"/>
      <c r="J140" s="49"/>
      <c r="K140" s="49"/>
      <c r="L140" s="50"/>
      <c r="M140" s="61"/>
      <c r="N140" s="51"/>
      <c r="O140" s="61"/>
    </row>
    <row r="141" spans="4:15" ht="12.75">
      <c r="D141" s="2"/>
      <c r="I141" s="49"/>
      <c r="J141" s="49"/>
      <c r="K141" s="49"/>
      <c r="L141" s="50"/>
      <c r="M141" s="61"/>
      <c r="N141" s="51"/>
      <c r="O141" s="61"/>
    </row>
    <row r="142" spans="4:15" ht="12.75">
      <c r="D142" s="2"/>
      <c r="I142" s="49"/>
      <c r="J142" s="49"/>
      <c r="K142" s="49"/>
      <c r="L142" s="50"/>
      <c r="M142" s="61"/>
      <c r="N142" s="51"/>
      <c r="O142" s="61"/>
    </row>
    <row r="143" spans="4:15" ht="12.75">
      <c r="D143" s="2"/>
      <c r="I143" s="49"/>
      <c r="J143" s="49"/>
      <c r="K143" s="49"/>
      <c r="L143" s="50"/>
      <c r="M143" s="50"/>
      <c r="N143" s="51"/>
      <c r="O143" s="50"/>
    </row>
    <row r="144" spans="4:15" ht="12.75">
      <c r="D144" s="2"/>
      <c r="I144" s="49"/>
      <c r="J144" s="60"/>
      <c r="K144" s="60"/>
      <c r="L144" s="47"/>
      <c r="M144" s="47"/>
      <c r="N144" s="48"/>
      <c r="O144" s="47"/>
    </row>
    <row r="145" spans="4:15" ht="12.75">
      <c r="D145" s="2"/>
      <c r="I145" s="49"/>
      <c r="J145" s="49"/>
      <c r="K145" s="49"/>
      <c r="L145" s="49"/>
      <c r="M145" s="49"/>
      <c r="N145" s="49"/>
      <c r="O145" s="49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</sheetData>
  <mergeCells count="30">
    <mergeCell ref="CN1:CT1"/>
    <mergeCell ref="CN4:CT4"/>
    <mergeCell ref="CG1:CM1"/>
    <mergeCell ref="CG4:CM4"/>
    <mergeCell ref="P1:V1"/>
    <mergeCell ref="P4:V4"/>
    <mergeCell ref="AR1:AX1"/>
    <mergeCell ref="AR4:AX4"/>
    <mergeCell ref="W1:AC1"/>
    <mergeCell ref="W4:AC4"/>
    <mergeCell ref="AK1:AQ1"/>
    <mergeCell ref="AK4:AQ4"/>
    <mergeCell ref="A4:G4"/>
    <mergeCell ref="A1:G1"/>
    <mergeCell ref="I1:O1"/>
    <mergeCell ref="I4:O4"/>
    <mergeCell ref="AY1:BD1"/>
    <mergeCell ref="AY4:BD4"/>
    <mergeCell ref="AD1:AJ1"/>
    <mergeCell ref="AD4:AJ4"/>
    <mergeCell ref="CU1:DA1"/>
    <mergeCell ref="CU4:DA4"/>
    <mergeCell ref="BE1:BK1"/>
    <mergeCell ref="BE4:BK4"/>
    <mergeCell ref="BL1:BR1"/>
    <mergeCell ref="BL4:BR4"/>
    <mergeCell ref="BZ1:CF1"/>
    <mergeCell ref="BZ4:CF4"/>
    <mergeCell ref="BS1:BY1"/>
    <mergeCell ref="BS4:BY4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11" r:id="rId1"/>
  <colBreaks count="1" manualBreakCount="1">
    <brk id="29" max="1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D120"/>
  <sheetViews>
    <sheetView view="pageBreakPreview" zoomScale="60" workbookViewId="0" topLeftCell="CT1">
      <selection activeCell="CX1" sqref="CX1:DD1"/>
    </sheetView>
  </sheetViews>
  <sheetFormatPr defaultColWidth="9.140625" defaultRowHeight="12.75"/>
  <cols>
    <col min="1" max="1" width="22.00390625" style="0" customWidth="1"/>
    <col min="3" max="3" width="26.57421875" style="0" customWidth="1"/>
    <col min="4" max="4" width="13.140625" style="0" customWidth="1"/>
    <col min="5" max="5" width="11.140625" style="0" bestFit="1" customWidth="1"/>
    <col min="6" max="6" width="10.421875" style="0" bestFit="1" customWidth="1"/>
    <col min="7" max="7" width="25.28125" style="0" customWidth="1"/>
    <col min="8" max="8" width="9.421875" style="0" customWidth="1"/>
    <col min="9" max="9" width="30.421875" style="0" customWidth="1"/>
    <col min="10" max="10" width="13.00390625" style="0" customWidth="1"/>
    <col min="11" max="11" width="14.57421875" style="0" customWidth="1"/>
    <col min="12" max="12" width="12.28125" style="0" customWidth="1"/>
    <col min="13" max="13" width="15.140625" style="0" customWidth="1"/>
    <col min="14" max="14" width="13.00390625" style="0" customWidth="1"/>
    <col min="15" max="16" width="12.7109375" style="0" customWidth="1"/>
    <col min="17" max="17" width="37.57421875" style="0" customWidth="1"/>
    <col min="18" max="18" width="12.7109375" style="0" customWidth="1"/>
    <col min="19" max="20" width="12.28125" style="0" customWidth="1"/>
    <col min="22" max="22" width="9.421875" style="0" bestFit="1" customWidth="1"/>
    <col min="23" max="24" width="18.140625" style="0" customWidth="1"/>
    <col min="25" max="25" width="25.28125" style="0" customWidth="1"/>
    <col min="26" max="26" width="18.28125" style="0" customWidth="1"/>
    <col min="27" max="27" width="14.140625" style="0" customWidth="1"/>
    <col min="28" max="28" width="13.421875" style="0" customWidth="1"/>
    <col min="29" max="29" width="14.140625" style="0" customWidth="1"/>
    <col min="30" max="30" width="17.00390625" style="0" customWidth="1"/>
    <col min="31" max="31" width="12.7109375" style="0" customWidth="1"/>
    <col min="32" max="32" width="28.57421875" style="0" customWidth="1"/>
    <col min="33" max="33" width="20.28125" style="0" customWidth="1"/>
    <col min="34" max="34" width="14.57421875" style="0" customWidth="1"/>
    <col min="35" max="35" width="15.28125" style="0" customWidth="1"/>
    <col min="36" max="36" width="17.7109375" style="0" customWidth="1"/>
    <col min="38" max="38" width="19.57421875" style="0" customWidth="1"/>
    <col min="39" max="39" width="32.7109375" style="0" customWidth="1"/>
    <col min="40" max="40" width="17.57421875" style="0" bestFit="1" customWidth="1"/>
    <col min="41" max="41" width="13.8515625" style="0" customWidth="1"/>
    <col min="42" max="42" width="22.28125" style="0" customWidth="1"/>
    <col min="43" max="43" width="15.8515625" style="0" customWidth="1"/>
    <col min="44" max="44" width="24.00390625" style="0" customWidth="1"/>
    <col min="45" max="45" width="15.140625" style="0" bestFit="1" customWidth="1"/>
    <col min="46" max="46" width="33.8515625" style="0" customWidth="1"/>
    <col min="47" max="47" width="18.28125" style="0" customWidth="1"/>
    <col min="48" max="48" width="19.8515625" style="0" customWidth="1"/>
    <col min="49" max="49" width="13.00390625" style="0" customWidth="1"/>
    <col min="51" max="51" width="31.7109375" style="0" customWidth="1"/>
    <col min="53" max="53" width="39.421875" style="0" customWidth="1"/>
    <col min="54" max="54" width="17.57421875" style="0" customWidth="1"/>
    <col min="55" max="55" width="16.28125" style="0" customWidth="1"/>
    <col min="56" max="56" width="16.57421875" style="0" customWidth="1"/>
    <col min="57" max="57" width="12.28125" style="0" customWidth="1"/>
    <col min="58" max="58" width="17.421875" style="0" customWidth="1"/>
    <col min="60" max="60" width="45.421875" style="0" customWidth="1"/>
    <col min="61" max="61" width="20.421875" style="0" customWidth="1"/>
    <col min="62" max="62" width="20.140625" style="0" customWidth="1"/>
    <col min="63" max="63" width="16.28125" style="0" customWidth="1"/>
    <col min="67" max="67" width="34.57421875" style="0" customWidth="1"/>
    <col min="68" max="68" width="16.7109375" style="0" customWidth="1"/>
    <col min="69" max="69" width="15.57421875" style="0" customWidth="1"/>
    <col min="70" max="70" width="17.00390625" style="0" customWidth="1"/>
    <col min="71" max="71" width="11.00390625" style="0" customWidth="1"/>
    <col min="74" max="74" width="29.57421875" style="0" customWidth="1"/>
    <col min="75" max="76" width="14.8515625" style="0" customWidth="1"/>
    <col min="77" max="77" width="15.8515625" style="0" customWidth="1"/>
    <col min="78" max="78" width="11.00390625" style="0" customWidth="1"/>
    <col min="79" max="79" width="18.421875" style="0" bestFit="1" customWidth="1"/>
    <col min="81" max="81" width="33.140625" style="0" customWidth="1"/>
    <col min="82" max="82" width="18.421875" style="0" customWidth="1"/>
    <col min="83" max="83" width="19.57421875" style="0" customWidth="1"/>
    <col min="84" max="84" width="17.140625" style="0" customWidth="1"/>
    <col min="88" max="88" width="32.421875" style="0" customWidth="1"/>
    <col min="89" max="89" width="20.140625" style="0" customWidth="1"/>
    <col min="90" max="90" width="22.8515625" style="0" customWidth="1"/>
    <col min="91" max="91" width="19.57421875" style="0" customWidth="1"/>
    <col min="95" max="95" width="27.00390625" style="0" customWidth="1"/>
    <col min="96" max="96" width="19.8515625" style="0" customWidth="1"/>
    <col min="97" max="97" width="18.7109375" style="0" customWidth="1"/>
    <col min="98" max="98" width="16.7109375" style="0" customWidth="1"/>
    <col min="99" max="99" width="12.7109375" style="0" customWidth="1"/>
    <col min="102" max="102" width="38.57421875" style="0" customWidth="1"/>
    <col min="103" max="103" width="19.421875" style="0" customWidth="1"/>
    <col min="104" max="105" width="17.421875" style="0" customWidth="1"/>
  </cols>
  <sheetData>
    <row r="1" spans="1:108" ht="33.75">
      <c r="A1" s="101" t="s">
        <v>132</v>
      </c>
      <c r="B1" s="101"/>
      <c r="C1" s="101"/>
      <c r="D1" s="101"/>
      <c r="E1" s="101"/>
      <c r="F1" s="101"/>
      <c r="G1" s="101"/>
      <c r="H1" s="7"/>
      <c r="I1" s="101" t="s">
        <v>132</v>
      </c>
      <c r="J1" s="101"/>
      <c r="K1" s="101"/>
      <c r="L1" s="101"/>
      <c r="M1" s="101"/>
      <c r="N1" s="101"/>
      <c r="O1" s="101"/>
      <c r="P1" s="7"/>
      <c r="Q1" s="101" t="s">
        <v>132</v>
      </c>
      <c r="R1" s="101"/>
      <c r="S1" s="101"/>
      <c r="T1" s="101"/>
      <c r="U1" s="101"/>
      <c r="V1" s="101"/>
      <c r="W1" s="101"/>
      <c r="X1" s="7"/>
      <c r="Y1" s="101" t="s">
        <v>132</v>
      </c>
      <c r="Z1" s="101"/>
      <c r="AA1" s="101"/>
      <c r="AB1" s="101"/>
      <c r="AC1" s="101"/>
      <c r="AD1" s="101"/>
      <c r="AE1" s="101"/>
      <c r="AF1" s="101" t="s">
        <v>132</v>
      </c>
      <c r="AG1" s="101"/>
      <c r="AH1" s="101"/>
      <c r="AI1" s="101"/>
      <c r="AJ1" s="101"/>
      <c r="AK1" s="101"/>
      <c r="AL1" s="101"/>
      <c r="AM1" s="101" t="s">
        <v>132</v>
      </c>
      <c r="AN1" s="101"/>
      <c r="AO1" s="101"/>
      <c r="AP1" s="101"/>
      <c r="AQ1" s="101"/>
      <c r="AR1" s="101"/>
      <c r="AS1" s="101"/>
      <c r="AT1" s="101" t="s">
        <v>132</v>
      </c>
      <c r="AU1" s="101"/>
      <c r="AV1" s="101"/>
      <c r="AW1" s="101"/>
      <c r="AX1" s="101"/>
      <c r="AY1" s="101"/>
      <c r="AZ1" s="101"/>
      <c r="BA1" s="101" t="s">
        <v>132</v>
      </c>
      <c r="BB1" s="101"/>
      <c r="BC1" s="101"/>
      <c r="BD1" s="101"/>
      <c r="BE1" s="101"/>
      <c r="BF1" s="101"/>
      <c r="BG1" s="101"/>
      <c r="BH1" s="101" t="s">
        <v>132</v>
      </c>
      <c r="BI1" s="101"/>
      <c r="BJ1" s="101"/>
      <c r="BK1" s="101"/>
      <c r="BL1" s="101"/>
      <c r="BM1" s="101"/>
      <c r="BN1" s="101"/>
      <c r="BO1" s="101" t="s">
        <v>132</v>
      </c>
      <c r="BP1" s="101"/>
      <c r="BQ1" s="101"/>
      <c r="BR1" s="101"/>
      <c r="BS1" s="101"/>
      <c r="BT1" s="101"/>
      <c r="BU1" s="101"/>
      <c r="BV1" s="101" t="s">
        <v>132</v>
      </c>
      <c r="BW1" s="101"/>
      <c r="BX1" s="101"/>
      <c r="BY1" s="101"/>
      <c r="BZ1" s="101"/>
      <c r="CA1" s="101"/>
      <c r="CB1" s="101"/>
      <c r="CC1" s="101" t="s">
        <v>132</v>
      </c>
      <c r="CD1" s="101"/>
      <c r="CE1" s="101"/>
      <c r="CF1" s="101"/>
      <c r="CG1" s="101"/>
      <c r="CH1" s="101"/>
      <c r="CI1" s="101"/>
      <c r="CJ1" s="101" t="s">
        <v>132</v>
      </c>
      <c r="CK1" s="101"/>
      <c r="CL1" s="101"/>
      <c r="CM1" s="101"/>
      <c r="CN1" s="101"/>
      <c r="CO1" s="101"/>
      <c r="CP1" s="101"/>
      <c r="CQ1" s="101" t="s">
        <v>132</v>
      </c>
      <c r="CR1" s="101"/>
      <c r="CS1" s="101"/>
      <c r="CT1" s="101"/>
      <c r="CU1" s="101"/>
      <c r="CV1" s="101"/>
      <c r="CW1" s="101"/>
      <c r="CX1" s="101" t="s">
        <v>132</v>
      </c>
      <c r="CY1" s="101"/>
      <c r="CZ1" s="101"/>
      <c r="DA1" s="101"/>
      <c r="DB1" s="101"/>
      <c r="DC1" s="101"/>
      <c r="DD1" s="101"/>
    </row>
    <row r="2" spans="1:108" ht="12.75">
      <c r="A2" s="8"/>
      <c r="B2" s="8"/>
      <c r="C2" s="8"/>
      <c r="D2" s="8"/>
      <c r="E2" s="8"/>
      <c r="F2" s="1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</row>
    <row r="3" spans="1:108" ht="12.75">
      <c r="A3" s="8"/>
      <c r="B3" s="8"/>
      <c r="C3" s="8"/>
      <c r="D3" s="8"/>
      <c r="E3" s="8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8" ht="18">
      <c r="A4" s="102" t="s">
        <v>98</v>
      </c>
      <c r="B4" s="102"/>
      <c r="C4" s="102"/>
      <c r="D4" s="102"/>
      <c r="E4" s="102"/>
      <c r="F4" s="102"/>
      <c r="G4" s="102"/>
      <c r="H4" s="11"/>
      <c r="I4" s="102" t="s">
        <v>142</v>
      </c>
      <c r="J4" s="102"/>
      <c r="K4" s="102"/>
      <c r="L4" s="102"/>
      <c r="M4" s="102"/>
      <c r="N4" s="102"/>
      <c r="O4" s="102"/>
      <c r="P4" s="11"/>
      <c r="Q4" s="102" t="s">
        <v>145</v>
      </c>
      <c r="R4" s="102"/>
      <c r="S4" s="102"/>
      <c r="T4" s="102"/>
      <c r="U4" s="102"/>
      <c r="V4" s="102"/>
      <c r="W4" s="102"/>
      <c r="X4" s="11"/>
      <c r="Y4" s="102" t="s">
        <v>146</v>
      </c>
      <c r="Z4" s="102"/>
      <c r="AA4" s="102"/>
      <c r="AB4" s="102"/>
      <c r="AC4" s="102"/>
      <c r="AD4" s="102"/>
      <c r="AE4" s="102"/>
      <c r="AF4" s="102" t="s">
        <v>148</v>
      </c>
      <c r="AG4" s="102"/>
      <c r="AH4" s="102"/>
      <c r="AI4" s="102"/>
      <c r="AJ4" s="102"/>
      <c r="AK4" s="102"/>
      <c r="AL4" s="102"/>
      <c r="AM4" s="102" t="s">
        <v>150</v>
      </c>
      <c r="AN4" s="102"/>
      <c r="AO4" s="102"/>
      <c r="AP4" s="102"/>
      <c r="AQ4" s="102"/>
      <c r="AR4" s="102"/>
      <c r="AS4" s="102"/>
      <c r="AT4" s="102" t="s">
        <v>153</v>
      </c>
      <c r="AU4" s="102"/>
      <c r="AV4" s="102"/>
      <c r="AW4" s="102"/>
      <c r="AX4" s="102"/>
      <c r="AY4" s="102"/>
      <c r="AZ4" s="102"/>
      <c r="BA4" s="102" t="s">
        <v>156</v>
      </c>
      <c r="BB4" s="102"/>
      <c r="BC4" s="102"/>
      <c r="BD4" s="102"/>
      <c r="BE4" s="102"/>
      <c r="BF4" s="102"/>
      <c r="BG4" s="102"/>
      <c r="BH4" s="102" t="s">
        <v>159</v>
      </c>
      <c r="BI4" s="102"/>
      <c r="BJ4" s="102"/>
      <c r="BK4" s="102"/>
      <c r="BL4" s="102"/>
      <c r="BM4" s="102"/>
      <c r="BN4" s="102"/>
      <c r="BO4" s="102" t="s">
        <v>164</v>
      </c>
      <c r="BP4" s="102"/>
      <c r="BQ4" s="102"/>
      <c r="BR4" s="102"/>
      <c r="BS4" s="102"/>
      <c r="BT4" s="102"/>
      <c r="BU4" s="102"/>
      <c r="BV4" s="102" t="s">
        <v>168</v>
      </c>
      <c r="BW4" s="102"/>
      <c r="BX4" s="102"/>
      <c r="BY4" s="102"/>
      <c r="BZ4" s="102"/>
      <c r="CA4" s="102"/>
      <c r="CB4" s="102"/>
      <c r="CC4" s="102" t="s">
        <v>169</v>
      </c>
      <c r="CD4" s="102"/>
      <c r="CE4" s="102"/>
      <c r="CF4" s="102"/>
      <c r="CG4" s="102"/>
      <c r="CH4" s="102"/>
      <c r="CI4" s="102"/>
      <c r="CJ4" s="102" t="s">
        <v>172</v>
      </c>
      <c r="CK4" s="102"/>
      <c r="CL4" s="102"/>
      <c r="CM4" s="102"/>
      <c r="CN4" s="102"/>
      <c r="CO4" s="102"/>
      <c r="CP4" s="102"/>
      <c r="CQ4" s="102" t="s">
        <v>175</v>
      </c>
      <c r="CR4" s="102"/>
      <c r="CS4" s="102"/>
      <c r="CT4" s="102"/>
      <c r="CU4" s="102"/>
      <c r="CV4" s="102"/>
      <c r="CW4" s="102"/>
      <c r="CX4" s="102" t="s">
        <v>182</v>
      </c>
      <c r="CY4" s="102"/>
      <c r="CZ4" s="102"/>
      <c r="DA4" s="102"/>
      <c r="DB4" s="102"/>
      <c r="DC4" s="102"/>
      <c r="DD4" s="102"/>
    </row>
    <row r="5" spans="1:108" ht="18">
      <c r="A5" s="11"/>
      <c r="B5" s="11"/>
      <c r="C5" s="11"/>
      <c r="D5" s="11"/>
      <c r="E5" s="11"/>
      <c r="F5" s="11"/>
      <c r="G5" s="11"/>
      <c r="H5" s="11"/>
      <c r="I5" s="8"/>
      <c r="J5" s="58" t="s">
        <v>143</v>
      </c>
      <c r="K5" s="8"/>
      <c r="L5" s="9"/>
      <c r="M5" s="8"/>
      <c r="N5" s="10"/>
      <c r="O5" s="8"/>
      <c r="P5" s="8"/>
      <c r="Q5" s="8"/>
      <c r="R5" s="58" t="s">
        <v>144</v>
      </c>
      <c r="S5" s="8"/>
      <c r="T5" s="9"/>
      <c r="U5" s="8"/>
      <c r="V5" s="10"/>
      <c r="W5" s="8"/>
      <c r="X5" s="8"/>
      <c r="Y5" s="8"/>
      <c r="Z5" s="58" t="s">
        <v>147</v>
      </c>
      <c r="AA5" s="8"/>
      <c r="AB5" s="9"/>
      <c r="AC5" s="8"/>
      <c r="AD5" s="10"/>
      <c r="AE5" s="8"/>
      <c r="AF5" s="8"/>
      <c r="AG5" s="58" t="s">
        <v>149</v>
      </c>
      <c r="AH5" s="8"/>
      <c r="AI5" s="9"/>
      <c r="AJ5" s="8"/>
      <c r="AK5" s="10"/>
      <c r="AL5" s="8"/>
      <c r="AM5" s="8"/>
      <c r="AN5" s="58" t="s">
        <v>151</v>
      </c>
      <c r="AO5" s="8"/>
      <c r="AP5" s="9"/>
      <c r="AQ5" s="8"/>
      <c r="AR5" s="10"/>
      <c r="AS5" s="8"/>
      <c r="AT5" s="8"/>
      <c r="AU5" s="58" t="s">
        <v>154</v>
      </c>
      <c r="AV5" s="8"/>
      <c r="AW5" s="9"/>
      <c r="AX5" s="8"/>
      <c r="AY5" s="10"/>
      <c r="AZ5" s="8"/>
      <c r="BA5" s="8"/>
      <c r="BB5" s="58" t="s">
        <v>157</v>
      </c>
      <c r="BC5" s="8"/>
      <c r="BD5" s="9"/>
      <c r="BE5" s="8"/>
      <c r="BF5" s="10"/>
      <c r="BG5" s="8"/>
      <c r="BH5" s="8"/>
      <c r="BI5" s="58" t="s">
        <v>160</v>
      </c>
      <c r="BJ5" s="8"/>
      <c r="BK5" s="9"/>
      <c r="BL5" s="8"/>
      <c r="BM5" s="10"/>
      <c r="BN5" s="8"/>
      <c r="BO5" s="8"/>
      <c r="BP5" s="58" t="s">
        <v>163</v>
      </c>
      <c r="BQ5" s="8"/>
      <c r="BR5" s="9"/>
      <c r="BS5" s="8"/>
      <c r="BT5" s="10"/>
      <c r="BU5" s="8"/>
      <c r="BV5" s="8"/>
      <c r="BW5" s="58" t="s">
        <v>167</v>
      </c>
      <c r="BX5" s="8"/>
      <c r="BY5" s="9"/>
      <c r="BZ5" s="8"/>
      <c r="CA5" s="10"/>
      <c r="CB5" s="8"/>
      <c r="CC5" s="8"/>
      <c r="CD5" s="58" t="s">
        <v>170</v>
      </c>
      <c r="CE5" s="8"/>
      <c r="CF5" s="9"/>
      <c r="CG5" s="8"/>
      <c r="CH5" s="10"/>
      <c r="CI5" s="8"/>
      <c r="CJ5" s="8"/>
      <c r="CK5" s="58" t="s">
        <v>173</v>
      </c>
      <c r="CL5" s="8"/>
      <c r="CM5" s="9"/>
      <c r="CN5" s="8"/>
      <c r="CO5" s="10"/>
      <c r="CP5" s="8"/>
      <c r="CQ5" s="8"/>
      <c r="CR5" s="58" t="s">
        <v>176</v>
      </c>
      <c r="CS5" s="8"/>
      <c r="CT5" s="9"/>
      <c r="CU5" s="8"/>
      <c r="CV5" s="10"/>
      <c r="CW5" s="8"/>
      <c r="CX5" s="8"/>
      <c r="CY5" s="58" t="s">
        <v>183</v>
      </c>
      <c r="CZ5" s="8"/>
      <c r="DA5" s="9"/>
      <c r="DB5" s="8"/>
      <c r="DC5" s="10"/>
      <c r="DD5" s="8"/>
    </row>
    <row r="6" spans="1:108" ht="18">
      <c r="A6" s="11"/>
      <c r="B6" s="11"/>
      <c r="C6" s="11"/>
      <c r="D6" s="11"/>
      <c r="E6" s="11"/>
      <c r="F6" s="11"/>
      <c r="G6" s="11"/>
      <c r="H6" s="1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ht="12.75">
      <c r="A7" s="19" t="s">
        <v>133</v>
      </c>
      <c r="B7" s="8"/>
      <c r="C7" s="8"/>
      <c r="D7" s="8"/>
      <c r="E7" s="8"/>
      <c r="F7" s="8"/>
      <c r="G7" s="8"/>
      <c r="H7" s="8"/>
      <c r="I7" s="19" t="s">
        <v>133</v>
      </c>
      <c r="J7" s="8"/>
      <c r="K7" s="8"/>
      <c r="L7" s="8"/>
      <c r="M7" s="8"/>
      <c r="N7" s="8"/>
      <c r="O7" s="8"/>
      <c r="P7" s="8"/>
      <c r="Q7" s="19" t="s">
        <v>133</v>
      </c>
      <c r="R7" s="8"/>
      <c r="S7" s="8"/>
      <c r="T7" s="8"/>
      <c r="U7" s="8"/>
      <c r="V7" s="8"/>
      <c r="W7" s="8"/>
      <c r="X7" s="8"/>
      <c r="Y7" s="19" t="s">
        <v>133</v>
      </c>
      <c r="Z7" s="8"/>
      <c r="AA7" s="8"/>
      <c r="AB7" s="8"/>
      <c r="AC7" s="8"/>
      <c r="AD7" s="8"/>
      <c r="AE7" s="8"/>
      <c r="AF7" s="19" t="s">
        <v>133</v>
      </c>
      <c r="AG7" s="8"/>
      <c r="AH7" s="8"/>
      <c r="AI7" s="8"/>
      <c r="AJ7" s="8"/>
      <c r="AK7" s="8"/>
      <c r="AL7" s="8"/>
      <c r="AM7" s="19" t="s">
        <v>133</v>
      </c>
      <c r="AN7" s="8"/>
      <c r="AO7" s="8"/>
      <c r="AP7" s="8"/>
      <c r="AQ7" s="8"/>
      <c r="AR7" s="8"/>
      <c r="AS7" s="8"/>
      <c r="AT7" s="19" t="s">
        <v>133</v>
      </c>
      <c r="AU7" s="8"/>
      <c r="AV7" s="8"/>
      <c r="AW7" s="8"/>
      <c r="AX7" s="8"/>
      <c r="AY7" s="8"/>
      <c r="AZ7" s="8"/>
      <c r="BA7" s="19" t="s">
        <v>133</v>
      </c>
      <c r="BB7" s="8"/>
      <c r="BC7" s="8"/>
      <c r="BD7" s="8"/>
      <c r="BE7" s="8"/>
      <c r="BF7" s="8"/>
      <c r="BG7" s="8"/>
      <c r="BH7" s="19" t="s">
        <v>133</v>
      </c>
      <c r="BI7" s="8"/>
      <c r="BJ7" s="8"/>
      <c r="BK7" s="8"/>
      <c r="BL7" s="8"/>
      <c r="BM7" s="8"/>
      <c r="BN7" s="8"/>
      <c r="BO7" s="19" t="s">
        <v>133</v>
      </c>
      <c r="BP7" s="8"/>
      <c r="BQ7" s="8"/>
      <c r="BR7" s="8"/>
      <c r="BS7" s="8"/>
      <c r="BT7" s="8"/>
      <c r="BU7" s="8"/>
      <c r="BV7" s="19" t="s">
        <v>133</v>
      </c>
      <c r="BW7" s="8"/>
      <c r="BX7" s="8"/>
      <c r="BY7" s="8"/>
      <c r="BZ7" s="8"/>
      <c r="CA7" s="8"/>
      <c r="CB7" s="8"/>
      <c r="CC7" s="19" t="s">
        <v>133</v>
      </c>
      <c r="CD7" s="8"/>
      <c r="CE7" s="8"/>
      <c r="CF7" s="8"/>
      <c r="CG7" s="8"/>
      <c r="CH7" s="8"/>
      <c r="CI7" s="8"/>
      <c r="CJ7" s="19" t="s">
        <v>133</v>
      </c>
      <c r="CK7" s="8"/>
      <c r="CL7" s="8"/>
      <c r="CM7" s="8"/>
      <c r="CN7" s="8"/>
      <c r="CO7" s="8"/>
      <c r="CP7" s="8"/>
      <c r="CQ7" s="19" t="s">
        <v>133</v>
      </c>
      <c r="CR7" s="8"/>
      <c r="CS7" s="8"/>
      <c r="CT7" s="8"/>
      <c r="CU7" s="8"/>
      <c r="CV7" s="8"/>
      <c r="CW7" s="8"/>
      <c r="CX7" s="19" t="s">
        <v>133</v>
      </c>
      <c r="CY7" s="8"/>
      <c r="CZ7" s="8"/>
      <c r="DA7" s="8"/>
      <c r="DB7" s="8"/>
      <c r="DC7" s="8"/>
      <c r="DD7" s="8"/>
    </row>
    <row r="8" spans="1:108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spans="1:108" ht="12.75">
      <c r="A9" s="8" t="s">
        <v>112</v>
      </c>
      <c r="B9" s="8"/>
      <c r="C9" s="8"/>
      <c r="D9" s="8"/>
      <c r="E9" s="8"/>
      <c r="F9" s="8"/>
      <c r="G9" s="8"/>
      <c r="H9" s="8"/>
      <c r="I9" s="8" t="s">
        <v>112</v>
      </c>
      <c r="J9" s="8"/>
      <c r="K9" s="8"/>
      <c r="L9" s="9"/>
      <c r="M9" s="8"/>
      <c r="N9" s="10"/>
      <c r="O9" s="8"/>
      <c r="P9" s="8"/>
      <c r="Q9" s="8" t="s">
        <v>112</v>
      </c>
      <c r="R9" s="8"/>
      <c r="S9" s="8"/>
      <c r="T9" s="9"/>
      <c r="U9" s="8"/>
      <c r="V9" s="10"/>
      <c r="W9" s="8"/>
      <c r="X9" s="8"/>
      <c r="Y9" s="8" t="s">
        <v>112</v>
      </c>
      <c r="Z9" s="8"/>
      <c r="AA9" s="8"/>
      <c r="AB9" s="9"/>
      <c r="AC9" s="8"/>
      <c r="AD9" s="10"/>
      <c r="AE9" s="8"/>
      <c r="AF9" s="8" t="s">
        <v>112</v>
      </c>
      <c r="AG9" s="8"/>
      <c r="AH9" s="8"/>
      <c r="AI9" s="9"/>
      <c r="AJ9" s="8"/>
      <c r="AK9" s="10"/>
      <c r="AL9" s="8"/>
      <c r="AM9" s="8" t="s">
        <v>112</v>
      </c>
      <c r="AN9" s="8"/>
      <c r="AO9" s="8"/>
      <c r="AP9" s="9"/>
      <c r="AQ9" s="8"/>
      <c r="AR9" s="10"/>
      <c r="AS9" s="8"/>
      <c r="AT9" s="8" t="s">
        <v>112</v>
      </c>
      <c r="AU9" s="8"/>
      <c r="AV9" s="8"/>
      <c r="AW9" s="9"/>
      <c r="AX9" s="8"/>
      <c r="AY9" s="10"/>
      <c r="AZ9" s="8"/>
      <c r="BA9" s="8" t="s">
        <v>112</v>
      </c>
      <c r="BB9" s="8"/>
      <c r="BC9" s="8"/>
      <c r="BD9" s="9"/>
      <c r="BE9" s="8"/>
      <c r="BF9" s="10"/>
      <c r="BG9" s="8"/>
      <c r="BH9" s="8" t="s">
        <v>112</v>
      </c>
      <c r="BI9" s="8"/>
      <c r="BJ9" s="8"/>
      <c r="BK9" s="9"/>
      <c r="BL9" s="8"/>
      <c r="BM9" s="10"/>
      <c r="BN9" s="8"/>
      <c r="BO9" s="8" t="s">
        <v>112</v>
      </c>
      <c r="BP9" s="8"/>
      <c r="BQ9" s="8"/>
      <c r="BR9" s="9"/>
      <c r="BS9" s="8"/>
      <c r="BT9" s="10"/>
      <c r="BU9" s="8"/>
      <c r="BV9" s="8" t="s">
        <v>112</v>
      </c>
      <c r="BW9" s="8"/>
      <c r="BX9" s="8"/>
      <c r="BY9" s="9"/>
      <c r="BZ9" s="8"/>
      <c r="CA9" s="10"/>
      <c r="CB9" s="8"/>
      <c r="CC9" s="8" t="s">
        <v>112</v>
      </c>
      <c r="CD9" s="8"/>
      <c r="CE9" s="8"/>
      <c r="CF9" s="9"/>
      <c r="CG9" s="8"/>
      <c r="CH9" s="10"/>
      <c r="CI9" s="8"/>
      <c r="CJ9" s="8" t="s">
        <v>112</v>
      </c>
      <c r="CK9" s="8"/>
      <c r="CL9" s="8"/>
      <c r="CM9" s="9"/>
      <c r="CN9" s="8"/>
      <c r="CO9" s="10"/>
      <c r="CP9" s="8"/>
      <c r="CQ9" s="8" t="s">
        <v>112</v>
      </c>
      <c r="CR9" s="8"/>
      <c r="CS9" s="8"/>
      <c r="CT9" s="9"/>
      <c r="CU9" s="8"/>
      <c r="CV9" s="10"/>
      <c r="CW9" s="8"/>
      <c r="CX9" s="8" t="s">
        <v>112</v>
      </c>
      <c r="CY9" s="8"/>
      <c r="CZ9" s="8"/>
      <c r="DA9" s="9"/>
      <c r="DB9" s="8"/>
      <c r="DC9" s="10"/>
      <c r="DD9" s="8"/>
    </row>
    <row r="10" spans="1:108" ht="12.75">
      <c r="A10" s="8"/>
      <c r="B10" s="8"/>
      <c r="C10" s="8"/>
      <c r="D10" s="8"/>
      <c r="E10" s="8"/>
      <c r="F10" s="8"/>
      <c r="G10" s="8"/>
      <c r="H10" s="8"/>
      <c r="I10" s="19"/>
      <c r="J10" s="8"/>
      <c r="K10" s="8"/>
      <c r="L10" s="9"/>
      <c r="M10" s="8"/>
      <c r="N10" s="10"/>
      <c r="O10" s="8"/>
      <c r="P10" s="8"/>
      <c r="Q10" s="19"/>
      <c r="R10" s="8"/>
      <c r="S10" s="8"/>
      <c r="T10" s="9"/>
      <c r="U10" s="8"/>
      <c r="V10" s="10"/>
      <c r="W10" s="8"/>
      <c r="X10" s="8"/>
      <c r="Y10" s="19"/>
      <c r="Z10" s="8"/>
      <c r="AA10" s="8"/>
      <c r="AB10" s="9"/>
      <c r="AC10" s="8"/>
      <c r="AD10" s="10"/>
      <c r="AE10" s="8"/>
      <c r="AF10" s="19"/>
      <c r="AG10" s="8"/>
      <c r="AH10" s="8"/>
      <c r="AI10" s="9"/>
      <c r="AJ10" s="8"/>
      <c r="AK10" s="10"/>
      <c r="AL10" s="8"/>
      <c r="AM10" s="19"/>
      <c r="AN10" s="8"/>
      <c r="AO10" s="8"/>
      <c r="AP10" s="9"/>
      <c r="AQ10" s="8"/>
      <c r="AR10" s="10"/>
      <c r="AS10" s="8"/>
      <c r="AT10" s="19"/>
      <c r="AU10" s="8"/>
      <c r="AV10" s="8"/>
      <c r="AW10" s="9"/>
      <c r="AX10" s="8"/>
      <c r="AY10" s="10"/>
      <c r="AZ10" s="8"/>
      <c r="BA10" s="19"/>
      <c r="BB10" s="8"/>
      <c r="BC10" s="8"/>
      <c r="BD10" s="9"/>
      <c r="BE10" s="8"/>
      <c r="BF10" s="10"/>
      <c r="BG10" s="8"/>
      <c r="BH10" s="19"/>
      <c r="BI10" s="8"/>
      <c r="BJ10" s="8"/>
      <c r="BK10" s="9"/>
      <c r="BL10" s="8"/>
      <c r="BM10" s="10"/>
      <c r="BN10" s="8"/>
      <c r="BO10" s="19"/>
      <c r="BP10" s="8"/>
      <c r="BQ10" s="8"/>
      <c r="BR10" s="9"/>
      <c r="BS10" s="8"/>
      <c r="BT10" s="10"/>
      <c r="BU10" s="8"/>
      <c r="BV10" s="19"/>
      <c r="BW10" s="8"/>
      <c r="BX10" s="8"/>
      <c r="BY10" s="9"/>
      <c r="BZ10" s="8"/>
      <c r="CA10" s="10"/>
      <c r="CB10" s="8"/>
      <c r="CC10" s="19"/>
      <c r="CD10" s="8"/>
      <c r="CE10" s="8"/>
      <c r="CF10" s="9"/>
      <c r="CG10" s="8"/>
      <c r="CH10" s="10"/>
      <c r="CI10" s="8"/>
      <c r="CJ10" s="19"/>
      <c r="CK10" s="8"/>
      <c r="CL10" s="8"/>
      <c r="CM10" s="9"/>
      <c r="CN10" s="8"/>
      <c r="CO10" s="10"/>
      <c r="CP10" s="8"/>
      <c r="CQ10" s="19"/>
      <c r="CR10" s="8"/>
      <c r="CS10" s="8"/>
      <c r="CT10" s="9"/>
      <c r="CU10" s="8"/>
      <c r="CV10" s="10"/>
      <c r="CW10" s="8"/>
      <c r="CX10" s="19"/>
      <c r="CY10" s="8"/>
      <c r="CZ10" s="8"/>
      <c r="DA10" s="9"/>
      <c r="DB10" s="8"/>
      <c r="DC10" s="10"/>
      <c r="DD10" s="8"/>
    </row>
    <row r="11" spans="1:108" s="45" customFormat="1" ht="12.75">
      <c r="A11" s="26"/>
      <c r="B11" s="26"/>
      <c r="C11" s="26" t="s">
        <v>99</v>
      </c>
      <c r="D11" s="44" t="s">
        <v>100</v>
      </c>
      <c r="E11" s="26" t="s">
        <v>101</v>
      </c>
      <c r="F11" s="26" t="s">
        <v>100</v>
      </c>
      <c r="G11" s="26"/>
      <c r="H11" s="26"/>
      <c r="I11" s="26" t="s">
        <v>99</v>
      </c>
      <c r="J11" s="44" t="s">
        <v>100</v>
      </c>
      <c r="K11" s="26" t="s">
        <v>101</v>
      </c>
      <c r="L11" s="26" t="s">
        <v>100</v>
      </c>
      <c r="M11" s="72"/>
      <c r="N11" s="64"/>
      <c r="O11" s="64"/>
      <c r="P11" s="64"/>
      <c r="Q11" s="26" t="s">
        <v>99</v>
      </c>
      <c r="R11" s="44" t="s">
        <v>100</v>
      </c>
      <c r="S11" s="26" t="s">
        <v>101</v>
      </c>
      <c r="T11" s="26" t="s">
        <v>100</v>
      </c>
      <c r="U11" s="72"/>
      <c r="V11" s="64"/>
      <c r="W11" s="64"/>
      <c r="X11" s="64"/>
      <c r="Y11" s="26" t="s">
        <v>99</v>
      </c>
      <c r="Z11" s="44" t="s">
        <v>100</v>
      </c>
      <c r="AA11" s="26" t="s">
        <v>101</v>
      </c>
      <c r="AB11" s="26" t="s">
        <v>100</v>
      </c>
      <c r="AC11" s="72"/>
      <c r="AD11" s="64"/>
      <c r="AE11" s="64"/>
      <c r="AF11" s="26" t="s">
        <v>99</v>
      </c>
      <c r="AG11" s="44" t="s">
        <v>100</v>
      </c>
      <c r="AH11" s="26" t="s">
        <v>101</v>
      </c>
      <c r="AI11" s="26" t="s">
        <v>100</v>
      </c>
      <c r="AJ11" s="72"/>
      <c r="AK11" s="64"/>
      <c r="AL11" s="64"/>
      <c r="AM11" s="26" t="s">
        <v>99</v>
      </c>
      <c r="AN11" s="44" t="s">
        <v>100</v>
      </c>
      <c r="AO11" s="26" t="s">
        <v>101</v>
      </c>
      <c r="AP11" s="26" t="s">
        <v>100</v>
      </c>
      <c r="AQ11" s="72"/>
      <c r="AR11" s="64"/>
      <c r="AS11" s="64"/>
      <c r="AT11" s="26" t="s">
        <v>99</v>
      </c>
      <c r="AU11" s="44" t="s">
        <v>100</v>
      </c>
      <c r="AV11" s="26" t="s">
        <v>101</v>
      </c>
      <c r="AW11" s="26" t="s">
        <v>100</v>
      </c>
      <c r="AX11" s="72"/>
      <c r="AY11" s="64"/>
      <c r="AZ11" s="64"/>
      <c r="BA11" s="26" t="s">
        <v>99</v>
      </c>
      <c r="BB11" s="44" t="s">
        <v>100</v>
      </c>
      <c r="BC11" s="26" t="s">
        <v>101</v>
      </c>
      <c r="BD11" s="26" t="s">
        <v>100</v>
      </c>
      <c r="BE11" s="72"/>
      <c r="BF11" s="64"/>
      <c r="BG11" s="64"/>
      <c r="BH11" s="44" t="s">
        <v>99</v>
      </c>
      <c r="BI11" s="44" t="s">
        <v>100</v>
      </c>
      <c r="BJ11" s="44" t="s">
        <v>101</v>
      </c>
      <c r="BK11" s="44" t="s">
        <v>100</v>
      </c>
      <c r="BL11" s="72"/>
      <c r="BM11" s="64"/>
      <c r="BN11" s="64"/>
      <c r="BO11" s="44" t="s">
        <v>99</v>
      </c>
      <c r="BP11" s="44" t="s">
        <v>100</v>
      </c>
      <c r="BQ11" s="44" t="s">
        <v>101</v>
      </c>
      <c r="BR11" s="44" t="s">
        <v>100</v>
      </c>
      <c r="BS11" s="72"/>
      <c r="BT11" s="64"/>
      <c r="BU11" s="64"/>
      <c r="BV11" s="44" t="s">
        <v>99</v>
      </c>
      <c r="BW11" s="44" t="s">
        <v>100</v>
      </c>
      <c r="BX11" s="44" t="s">
        <v>101</v>
      </c>
      <c r="BY11" s="44" t="s">
        <v>100</v>
      </c>
      <c r="BZ11" s="72"/>
      <c r="CA11" s="64"/>
      <c r="CB11" s="64"/>
      <c r="CC11" s="44" t="s">
        <v>99</v>
      </c>
      <c r="CD11" s="44" t="s">
        <v>100</v>
      </c>
      <c r="CE11" s="44" t="s">
        <v>101</v>
      </c>
      <c r="CF11" s="44" t="s">
        <v>100</v>
      </c>
      <c r="CG11" s="72"/>
      <c r="CH11" s="64"/>
      <c r="CI11" s="64"/>
      <c r="CJ11" s="44" t="s">
        <v>99</v>
      </c>
      <c r="CK11" s="44" t="s">
        <v>100</v>
      </c>
      <c r="CL11" s="44" t="s">
        <v>101</v>
      </c>
      <c r="CM11" s="44" t="s">
        <v>100</v>
      </c>
      <c r="CN11" s="72"/>
      <c r="CO11" s="64"/>
      <c r="CP11" s="64"/>
      <c r="CQ11" s="44" t="s">
        <v>99</v>
      </c>
      <c r="CR11" s="44" t="s">
        <v>100</v>
      </c>
      <c r="CS11" s="44" t="s">
        <v>101</v>
      </c>
      <c r="CT11" s="44" t="s">
        <v>100</v>
      </c>
      <c r="CU11" s="72"/>
      <c r="CV11" s="64"/>
      <c r="CW11" s="64"/>
      <c r="CX11" s="44" t="s">
        <v>99</v>
      </c>
      <c r="CY11" s="44" t="s">
        <v>100</v>
      </c>
      <c r="CZ11" s="44" t="s">
        <v>101</v>
      </c>
      <c r="DA11" s="44" t="s">
        <v>100</v>
      </c>
      <c r="DB11" s="72"/>
      <c r="DC11" s="64"/>
      <c r="DD11" s="64"/>
    </row>
    <row r="12" spans="1:108" ht="12.75">
      <c r="A12" s="8"/>
      <c r="B12" s="8"/>
      <c r="C12" s="8"/>
      <c r="D12" s="8"/>
      <c r="E12" s="8"/>
      <c r="F12" s="8"/>
      <c r="G12" s="8"/>
      <c r="H12" s="8"/>
      <c r="I12" s="9"/>
      <c r="J12" s="8"/>
      <c r="K12" s="10"/>
      <c r="L12" s="8"/>
      <c r="M12" s="54"/>
      <c r="N12" s="55"/>
      <c r="O12" s="54"/>
      <c r="P12" s="54"/>
      <c r="Q12" s="9"/>
      <c r="R12" s="8"/>
      <c r="S12" s="10"/>
      <c r="T12" s="8"/>
      <c r="U12" s="54"/>
      <c r="V12" s="55"/>
      <c r="W12" s="54"/>
      <c r="X12" s="54"/>
      <c r="Y12" s="9"/>
      <c r="Z12" s="8"/>
      <c r="AA12" s="10"/>
      <c r="AB12" s="8"/>
      <c r="AC12" s="54"/>
      <c r="AD12" s="55"/>
      <c r="AE12" s="54"/>
      <c r="AF12" s="9"/>
      <c r="AG12" s="8"/>
      <c r="AH12" s="10"/>
      <c r="AI12" s="8"/>
      <c r="AJ12" s="54"/>
      <c r="AK12" s="55"/>
      <c r="AL12" s="54"/>
      <c r="AM12" s="9"/>
      <c r="AN12" s="8"/>
      <c r="AO12" s="10"/>
      <c r="AP12" s="8"/>
      <c r="AQ12" s="54"/>
      <c r="AR12" s="55"/>
      <c r="AS12" s="54"/>
      <c r="AT12" s="9"/>
      <c r="AU12" s="8"/>
      <c r="AV12" s="10"/>
      <c r="AW12" s="8"/>
      <c r="AX12" s="54"/>
      <c r="AY12" s="55"/>
      <c r="AZ12" s="54"/>
      <c r="BA12" s="9"/>
      <c r="BB12" s="8"/>
      <c r="BC12" s="10"/>
      <c r="BD12" s="8"/>
      <c r="BE12" s="54"/>
      <c r="BF12" s="55"/>
      <c r="BG12" s="54"/>
      <c r="BH12" s="9"/>
      <c r="BI12" s="8"/>
      <c r="BJ12" s="10"/>
      <c r="BK12" s="8"/>
      <c r="BL12" s="54"/>
      <c r="BM12" s="55"/>
      <c r="BN12" s="54"/>
      <c r="BO12" s="9"/>
      <c r="BP12" s="8"/>
      <c r="BQ12" s="10"/>
      <c r="BR12" s="8"/>
      <c r="BS12" s="54"/>
      <c r="BT12" s="55"/>
      <c r="BU12" s="54"/>
      <c r="BV12" s="9"/>
      <c r="BW12" s="8"/>
      <c r="BX12" s="10"/>
      <c r="BY12" s="8"/>
      <c r="BZ12" s="54"/>
      <c r="CA12" s="55"/>
      <c r="CB12" s="54"/>
      <c r="CC12" s="9"/>
      <c r="CD12" s="8"/>
      <c r="CE12" s="10"/>
      <c r="CF12" s="8"/>
      <c r="CG12" s="54"/>
      <c r="CH12" s="55"/>
      <c r="CI12" s="54"/>
      <c r="CJ12" s="9"/>
      <c r="CK12" s="8"/>
      <c r="CL12" s="10"/>
      <c r="CM12" s="8"/>
      <c r="CN12" s="54"/>
      <c r="CO12" s="55"/>
      <c r="CP12" s="54"/>
      <c r="CQ12" s="9"/>
      <c r="CR12" s="8"/>
      <c r="CS12" s="10"/>
      <c r="CT12" s="8"/>
      <c r="CU12" s="54"/>
      <c r="CV12" s="55"/>
      <c r="CW12" s="54"/>
      <c r="CX12" s="9"/>
      <c r="CY12" s="8"/>
      <c r="CZ12" s="10"/>
      <c r="DA12" s="8"/>
      <c r="DB12" s="54"/>
      <c r="DC12" s="55"/>
      <c r="DD12" s="54"/>
    </row>
    <row r="13" spans="1:108" ht="12.75">
      <c r="A13" s="8" t="s">
        <v>43</v>
      </c>
      <c r="B13" s="8"/>
      <c r="C13" s="43">
        <v>65545228.74</v>
      </c>
      <c r="D13" s="33">
        <f>+C13/C23</f>
        <v>0.7171094303725464</v>
      </c>
      <c r="E13" s="46">
        <v>14948</v>
      </c>
      <c r="F13" s="33">
        <f>+E13/E23</f>
        <v>0.7872340425531915</v>
      </c>
      <c r="G13" s="33"/>
      <c r="H13" s="33"/>
      <c r="I13" s="9">
        <v>56814506.42</v>
      </c>
      <c r="J13" s="14">
        <f>+I13/I23</f>
        <v>0.6828047193623381</v>
      </c>
      <c r="K13" s="10">
        <v>11083</v>
      </c>
      <c r="L13" s="14">
        <f>+K13/K23</f>
        <v>0.7299611407495225</v>
      </c>
      <c r="M13" s="56"/>
      <c r="N13" s="55"/>
      <c r="O13" s="56"/>
      <c r="P13" s="56"/>
      <c r="Q13" s="9">
        <v>48394586.15</v>
      </c>
      <c r="R13" s="14">
        <f>+Q13/$Q$23</f>
        <v>0.6455968811673267</v>
      </c>
      <c r="S13" s="10">
        <v>9744</v>
      </c>
      <c r="T13" s="14">
        <f>+S13/$S$23</f>
        <v>0.7019667170953101</v>
      </c>
      <c r="U13" s="56"/>
      <c r="V13" s="55"/>
      <c r="W13" s="56"/>
      <c r="X13" s="56"/>
      <c r="Y13" s="9">
        <v>41054180.11</v>
      </c>
      <c r="Z13" s="14">
        <f>+Y13/$Y$23</f>
        <v>0.603462948012257</v>
      </c>
      <c r="AA13" s="10">
        <v>8537</v>
      </c>
      <c r="AB13" s="14">
        <f>+AA13/$AA$23</f>
        <v>0.6585158901573588</v>
      </c>
      <c r="AC13" s="56"/>
      <c r="AD13" s="55"/>
      <c r="AE13" s="56"/>
      <c r="AF13" s="9">
        <v>34299081.09</v>
      </c>
      <c r="AG13" s="14">
        <v>0.6631567069028522</v>
      </c>
      <c r="AH13" s="10">
        <v>7374</v>
      </c>
      <c r="AI13" s="14">
        <v>0.6993947072072072</v>
      </c>
      <c r="AJ13" s="56"/>
      <c r="AK13" s="55"/>
      <c r="AL13" s="56"/>
      <c r="AM13" s="9">
        <v>28701235.5</v>
      </c>
      <c r="AN13" s="14">
        <f>+AM13/$AM$23</f>
        <v>0.5205326248588843</v>
      </c>
      <c r="AO13" s="10">
        <v>6354</v>
      </c>
      <c r="AP13" s="14">
        <f>+AO13/$AO$23</f>
        <v>0.5801680058436816</v>
      </c>
      <c r="AQ13" s="56"/>
      <c r="AR13" s="55"/>
      <c r="AS13" s="56"/>
      <c r="AT13" s="9">
        <v>23564988.07</v>
      </c>
      <c r="AU13" s="14">
        <f>+AT13/$AT$23</f>
        <v>0.47464730741429545</v>
      </c>
      <c r="AV13" s="10">
        <v>5377</v>
      </c>
      <c r="AW13" s="14">
        <f>+AV13/$AV$23</f>
        <v>0.5379689844922462</v>
      </c>
      <c r="AX13" s="56"/>
      <c r="AY13" s="55"/>
      <c r="AZ13" s="56"/>
      <c r="BA13" s="9">
        <v>19640324.12</v>
      </c>
      <c r="BB13" s="14">
        <f>+BA13/$BA$23</f>
        <v>0.43258065137614204</v>
      </c>
      <c r="BC13" s="10">
        <v>4630</v>
      </c>
      <c r="BD13" s="14">
        <f>+BC13/$BC$23</f>
        <v>0.4980636833046472</v>
      </c>
      <c r="BE13" s="56"/>
      <c r="BF13" s="55"/>
      <c r="BG13" s="56"/>
      <c r="BH13" s="9">
        <v>15938014.51</v>
      </c>
      <c r="BI13" s="14">
        <f>+BH13/BH23</f>
        <v>0.3867186422066063</v>
      </c>
      <c r="BJ13" s="10">
        <v>3876</v>
      </c>
      <c r="BK13" s="14">
        <f aca="true" t="shared" si="0" ref="BK13:BK21">+BJ13/$BJ$23</f>
        <v>0.4864457831325301</v>
      </c>
      <c r="BL13" s="56"/>
      <c r="BM13" s="55"/>
      <c r="BN13" s="56"/>
      <c r="BO13" s="9">
        <v>13025335.950000016</v>
      </c>
      <c r="BP13" s="14">
        <v>0.3448076222943072</v>
      </c>
      <c r="BQ13" s="10">
        <v>3284</v>
      </c>
      <c r="BR13" s="14">
        <v>0.44875649084449304</v>
      </c>
      <c r="BS13" s="56"/>
      <c r="BT13" s="55"/>
      <c r="BU13" s="56"/>
      <c r="BV13" s="9">
        <v>10573056.669999983</v>
      </c>
      <c r="BW13" s="14">
        <v>0.30455596233758825</v>
      </c>
      <c r="BX13" s="10">
        <v>2775</v>
      </c>
      <c r="BY13" s="14">
        <v>0.4133770296439744</v>
      </c>
      <c r="BZ13" s="56"/>
      <c r="CA13" s="55"/>
      <c r="CB13" s="56"/>
      <c r="CC13" s="9">
        <v>8372949.550000007</v>
      </c>
      <c r="CD13" s="14">
        <v>0.2616576008136771</v>
      </c>
      <c r="CE13" s="10">
        <v>2377</v>
      </c>
      <c r="CF13" s="14">
        <v>0.3801375339836878</v>
      </c>
      <c r="CG13" s="56"/>
      <c r="CH13" s="55"/>
      <c r="CI13" s="56"/>
      <c r="CJ13" s="9">
        <v>6596773.720000006</v>
      </c>
      <c r="CK13" s="14">
        <v>0.22219519778156563</v>
      </c>
      <c r="CL13" s="10">
        <v>1985</v>
      </c>
      <c r="CM13" s="14">
        <v>0.3433068142511242</v>
      </c>
      <c r="CN13" s="56"/>
      <c r="CO13" s="55"/>
      <c r="CP13" s="56"/>
      <c r="CQ13" s="9">
        <v>5100396.99</v>
      </c>
      <c r="CR13" s="14">
        <v>0.18515317591630612</v>
      </c>
      <c r="CS13" s="10">
        <v>1613</v>
      </c>
      <c r="CT13" s="14">
        <v>0.30274024024024027</v>
      </c>
      <c r="CU13" s="56"/>
      <c r="CV13" s="55"/>
      <c r="CW13" s="56"/>
      <c r="CX13" s="9">
        <v>3989348.09</v>
      </c>
      <c r="CY13" s="14">
        <v>0.15379923545657345</v>
      </c>
      <c r="CZ13" s="10">
        <v>1351</v>
      </c>
      <c r="DA13" s="14">
        <v>0.2700379772136718</v>
      </c>
      <c r="DB13" s="56"/>
      <c r="DC13" s="55"/>
      <c r="DD13" s="56"/>
    </row>
    <row r="14" spans="1:108" ht="12.75">
      <c r="A14" s="8" t="s">
        <v>44</v>
      </c>
      <c r="B14" s="8"/>
      <c r="C14" s="43">
        <v>2077646.83</v>
      </c>
      <c r="D14" s="33">
        <f>+C14/$C$23</f>
        <v>0.02273087093320939</v>
      </c>
      <c r="E14" s="46">
        <v>354</v>
      </c>
      <c r="F14" s="33">
        <f>+E14/$E$23</f>
        <v>0.018643353697071836</v>
      </c>
      <c r="G14" s="33"/>
      <c r="H14" s="33"/>
      <c r="I14" s="9">
        <v>1438311.81</v>
      </c>
      <c r="J14" s="14">
        <f>+I14/$I$23</f>
        <v>0.017285833384215934</v>
      </c>
      <c r="K14" s="10">
        <v>254</v>
      </c>
      <c r="L14" s="14">
        <f>+K14/$K$23</f>
        <v>0.016729236646249094</v>
      </c>
      <c r="M14" s="56"/>
      <c r="N14" s="55"/>
      <c r="O14" s="56"/>
      <c r="P14" s="56"/>
      <c r="Q14" s="9">
        <v>985532.85</v>
      </c>
      <c r="R14" s="14">
        <f aca="true" t="shared" si="1" ref="R14:R21">+Q14/$Q$23</f>
        <v>0.013147275033530725</v>
      </c>
      <c r="S14" s="10">
        <v>218</v>
      </c>
      <c r="T14" s="14">
        <f aca="true" t="shared" si="2" ref="T14:T21">+S14/$S$23</f>
        <v>0.015704920394784237</v>
      </c>
      <c r="U14" s="56"/>
      <c r="V14" s="55"/>
      <c r="W14" s="56"/>
      <c r="X14" s="56"/>
      <c r="Y14" s="9">
        <v>863874.23</v>
      </c>
      <c r="Z14" s="14">
        <f aca="true" t="shared" si="3" ref="Z14:Z21">+Y14/$Y$23</f>
        <v>0.012698246272384722</v>
      </c>
      <c r="AA14" s="10">
        <v>197</v>
      </c>
      <c r="AB14" s="14">
        <f aca="true" t="shared" si="4" ref="AB14:AB21">+AA14/$AA$23</f>
        <v>0.01519592718296822</v>
      </c>
      <c r="AC14" s="56"/>
      <c r="AD14" s="55"/>
      <c r="AE14" s="56"/>
      <c r="AF14" s="9">
        <v>680983.93</v>
      </c>
      <c r="AG14" s="14">
        <v>0.010639028783877576</v>
      </c>
      <c r="AH14" s="10">
        <v>169</v>
      </c>
      <c r="AI14" s="14">
        <v>0.013372747747747748</v>
      </c>
      <c r="AJ14" s="56"/>
      <c r="AK14" s="55"/>
      <c r="AL14" s="56"/>
      <c r="AM14" s="9">
        <v>527113.62</v>
      </c>
      <c r="AN14" s="14">
        <f aca="true" t="shared" si="5" ref="AN14:AN21">+AM14/$AM$23</f>
        <v>0.009559861498557039</v>
      </c>
      <c r="AO14" s="10">
        <v>143</v>
      </c>
      <c r="AP14" s="14">
        <f aca="true" t="shared" si="6" ref="AP14:AP21">+AO14/$AO$23</f>
        <v>0.013056975894813732</v>
      </c>
      <c r="AQ14" s="56"/>
      <c r="AR14" s="55"/>
      <c r="AS14" s="56"/>
      <c r="AT14" s="9">
        <v>533204.06</v>
      </c>
      <c r="AU14" s="14">
        <f aca="true" t="shared" si="7" ref="AU14:AU21">+AT14/$AT$23</f>
        <v>0.010739825992255233</v>
      </c>
      <c r="AV14" s="10">
        <v>128</v>
      </c>
      <c r="AW14" s="14">
        <f aca="true" t="shared" si="8" ref="AW14:AW21">+AV14/$AV$23</f>
        <v>0.012806403201600801</v>
      </c>
      <c r="AX14" s="56"/>
      <c r="AY14" s="55"/>
      <c r="AZ14" s="56"/>
      <c r="BA14" s="9">
        <v>493882.37</v>
      </c>
      <c r="BB14" s="14">
        <f aca="true" t="shared" si="9" ref="BB14:BB21">+BA14/$BA$23</f>
        <v>0.01087782238279033</v>
      </c>
      <c r="BC14" s="10">
        <v>131</v>
      </c>
      <c r="BD14" s="14">
        <f aca="true" t="shared" si="10" ref="BD14:BD21">+BC14/$BC$23</f>
        <v>0.014092082616179002</v>
      </c>
      <c r="BE14" s="56"/>
      <c r="BF14" s="55"/>
      <c r="BG14" s="56"/>
      <c r="BH14" s="9">
        <v>414624.85</v>
      </c>
      <c r="BI14" s="14">
        <f>+BH14/BH23</f>
        <v>0.010060422452025852</v>
      </c>
      <c r="BJ14" s="10">
        <v>121</v>
      </c>
      <c r="BK14" s="14">
        <f t="shared" si="0"/>
        <v>0.01518574297188755</v>
      </c>
      <c r="BL14" s="56"/>
      <c r="BM14" s="55"/>
      <c r="BN14" s="56"/>
      <c r="BO14" s="9">
        <v>307432.45</v>
      </c>
      <c r="BP14" s="14">
        <v>0.008138373743873637</v>
      </c>
      <c r="BQ14" s="10">
        <v>79</v>
      </c>
      <c r="BR14" s="14">
        <v>0.010795299262093468</v>
      </c>
      <c r="BS14" s="56"/>
      <c r="BT14" s="55"/>
      <c r="BU14" s="56"/>
      <c r="BV14" s="9">
        <v>194216.49</v>
      </c>
      <c r="BW14" s="14">
        <v>0.005594388818666823</v>
      </c>
      <c r="BX14" s="10">
        <v>67</v>
      </c>
      <c r="BY14" s="14">
        <v>0.009980634589602265</v>
      </c>
      <c r="BZ14" s="56"/>
      <c r="CA14" s="55"/>
      <c r="CB14" s="56"/>
      <c r="CC14" s="9">
        <v>229770.44</v>
      </c>
      <c r="CD14" s="14">
        <v>0.007180406583042518</v>
      </c>
      <c r="CE14" s="10">
        <v>73</v>
      </c>
      <c r="CF14" s="14">
        <v>0.011674396289780906</v>
      </c>
      <c r="CG14" s="56"/>
      <c r="CH14" s="55"/>
      <c r="CI14" s="56"/>
      <c r="CJ14" s="9">
        <v>189490.67</v>
      </c>
      <c r="CK14" s="14">
        <v>0.006382501308292767</v>
      </c>
      <c r="CL14" s="10">
        <v>62</v>
      </c>
      <c r="CM14" s="14">
        <v>0.010722933241093047</v>
      </c>
      <c r="CN14" s="56"/>
      <c r="CO14" s="55"/>
      <c r="CP14" s="56"/>
      <c r="CQ14" s="9">
        <v>139180.62</v>
      </c>
      <c r="CR14" s="14">
        <v>0.00505249569190898</v>
      </c>
      <c r="CS14" s="10">
        <v>50</v>
      </c>
      <c r="CT14" s="14">
        <v>0.009384384384384385</v>
      </c>
      <c r="CU14" s="56"/>
      <c r="CV14" s="55"/>
      <c r="CW14" s="56"/>
      <c r="CX14" s="9">
        <v>96857.26</v>
      </c>
      <c r="CY14" s="14">
        <v>0.0037340869235651373</v>
      </c>
      <c r="CZ14" s="10">
        <v>46</v>
      </c>
      <c r="DA14" s="14">
        <v>0.009194483310013992</v>
      </c>
      <c r="DB14" s="56"/>
      <c r="DC14" s="55"/>
      <c r="DD14" s="56"/>
    </row>
    <row r="15" spans="1:108" ht="12.75">
      <c r="A15" s="8" t="s">
        <v>45</v>
      </c>
      <c r="B15" s="8"/>
      <c r="C15" s="43">
        <v>1441235.12</v>
      </c>
      <c r="D15" s="33">
        <f aca="true" t="shared" si="11" ref="D15:D21">+C15/$C$23</f>
        <v>0.015768093510449294</v>
      </c>
      <c r="E15" s="46">
        <v>247</v>
      </c>
      <c r="F15" s="33">
        <f aca="true" t="shared" si="12" ref="F15:F21">+E15/$E$23</f>
        <v>0.01300821571518854</v>
      </c>
      <c r="G15" s="33"/>
      <c r="H15" s="33"/>
      <c r="I15" s="9">
        <v>1214408.81</v>
      </c>
      <c r="J15" s="14">
        <f aca="true" t="shared" si="13" ref="J15:J21">+I15/$I$23</f>
        <v>0.014594935676697215</v>
      </c>
      <c r="K15" s="10">
        <v>195</v>
      </c>
      <c r="L15" s="14">
        <f aca="true" t="shared" si="14" ref="L15:L21">+K15/$K$23</f>
        <v>0.01284331159849832</v>
      </c>
      <c r="M15" s="56"/>
      <c r="N15" s="55"/>
      <c r="O15" s="56"/>
      <c r="P15" s="56"/>
      <c r="Q15" s="9">
        <v>890696.64</v>
      </c>
      <c r="R15" s="14">
        <f t="shared" si="1"/>
        <v>0.011882134317005978</v>
      </c>
      <c r="S15" s="10">
        <v>182</v>
      </c>
      <c r="T15" s="14">
        <f t="shared" si="2"/>
        <v>0.013111447302067574</v>
      </c>
      <c r="U15" s="56"/>
      <c r="V15" s="55"/>
      <c r="W15" s="56"/>
      <c r="X15" s="56"/>
      <c r="Y15" s="9">
        <f>851122.15-Y53</f>
        <v>820946.49</v>
      </c>
      <c r="Z15" s="14">
        <f t="shared" si="3"/>
        <v>0.01206724352278667</v>
      </c>
      <c r="AA15" s="10">
        <f>163-AA53</f>
        <v>158</v>
      </c>
      <c r="AB15" s="14">
        <f t="shared" si="4"/>
        <v>0.01218759642085776</v>
      </c>
      <c r="AC15" s="56"/>
      <c r="AD15" s="55"/>
      <c r="AE15" s="56"/>
      <c r="AF15" s="9">
        <v>739687.77</v>
      </c>
      <c r="AG15" s="14">
        <v>0.009871475930524502</v>
      </c>
      <c r="AH15" s="10">
        <v>148</v>
      </c>
      <c r="AI15" s="14">
        <v>0.01097972972972973</v>
      </c>
      <c r="AJ15" s="56"/>
      <c r="AK15" s="55"/>
      <c r="AL15" s="56"/>
      <c r="AM15" s="9">
        <v>560526.77</v>
      </c>
      <c r="AN15" s="14">
        <f t="shared" si="5"/>
        <v>0.010165850556913207</v>
      </c>
      <c r="AO15" s="10">
        <v>116</v>
      </c>
      <c r="AP15" s="14">
        <f t="shared" si="6"/>
        <v>0.010591672753834916</v>
      </c>
      <c r="AQ15" s="56"/>
      <c r="AR15" s="55"/>
      <c r="AS15" s="56"/>
      <c r="AT15" s="9">
        <v>551498.41</v>
      </c>
      <c r="AU15" s="14">
        <f t="shared" si="7"/>
        <v>0.011108311812939744</v>
      </c>
      <c r="AV15" s="10">
        <v>113</v>
      </c>
      <c r="AW15" s="14">
        <f t="shared" si="8"/>
        <v>0.011305652826413206</v>
      </c>
      <c r="AX15" s="56"/>
      <c r="AY15" s="55"/>
      <c r="AZ15" s="56"/>
      <c r="BA15" s="9">
        <v>403918.77</v>
      </c>
      <c r="BB15" s="14">
        <f t="shared" si="9"/>
        <v>0.008896362583534089</v>
      </c>
      <c r="BC15" s="10">
        <v>93</v>
      </c>
      <c r="BD15" s="14">
        <f t="shared" si="10"/>
        <v>0.010004302925989673</v>
      </c>
      <c r="BE15" s="56"/>
      <c r="BF15" s="55"/>
      <c r="BG15" s="56"/>
      <c r="BH15" s="9">
        <v>346712.61</v>
      </c>
      <c r="BI15" s="14">
        <f>+BH15/BH23</f>
        <v>0.008412605578378822</v>
      </c>
      <c r="BJ15" s="10">
        <v>83</v>
      </c>
      <c r="BK15" s="14">
        <f t="shared" si="0"/>
        <v>0.010416666666666666</v>
      </c>
      <c r="BL15" s="56"/>
      <c r="BM15" s="55"/>
      <c r="BN15" s="56"/>
      <c r="BO15" s="9">
        <v>307254.95</v>
      </c>
      <c r="BP15" s="14">
        <v>0.008133674951213535</v>
      </c>
      <c r="BQ15" s="10">
        <v>86</v>
      </c>
      <c r="BR15" s="14">
        <v>0.011751844766329598</v>
      </c>
      <c r="BS15" s="56"/>
      <c r="BT15" s="55"/>
      <c r="BU15" s="56"/>
      <c r="BV15" s="9">
        <v>217233.14</v>
      </c>
      <c r="BW15" s="14">
        <v>0.0062573813864100014</v>
      </c>
      <c r="BX15" s="10">
        <v>64</v>
      </c>
      <c r="BY15" s="14">
        <v>0.00953374050350067</v>
      </c>
      <c r="BZ15" s="56"/>
      <c r="CA15" s="55"/>
      <c r="CB15" s="56"/>
      <c r="CC15" s="9">
        <v>212364.37</v>
      </c>
      <c r="CD15" s="14">
        <v>0.006636460809979201</v>
      </c>
      <c r="CE15" s="10">
        <v>63</v>
      </c>
      <c r="CF15" s="14">
        <v>0.010075163921317767</v>
      </c>
      <c r="CG15" s="56"/>
      <c r="CH15" s="55"/>
      <c r="CI15" s="56"/>
      <c r="CJ15" s="9">
        <v>158023.04</v>
      </c>
      <c r="CK15" s="14">
        <v>0.005322595880527522</v>
      </c>
      <c r="CL15" s="10">
        <v>51</v>
      </c>
      <c r="CM15" s="14">
        <v>0.008820477343479766</v>
      </c>
      <c r="CN15" s="56"/>
      <c r="CO15" s="55"/>
      <c r="CP15" s="56"/>
      <c r="CQ15" s="9">
        <v>105862.74</v>
      </c>
      <c r="CR15" s="14">
        <v>0.0038429993901714235</v>
      </c>
      <c r="CS15" s="10">
        <v>42</v>
      </c>
      <c r="CT15" s="14">
        <v>0.007882882882882882</v>
      </c>
      <c r="CU15" s="56"/>
      <c r="CV15" s="55"/>
      <c r="CW15" s="56"/>
      <c r="CX15" s="9">
        <v>75897.21</v>
      </c>
      <c r="CY15" s="14">
        <v>0.002926025156979221</v>
      </c>
      <c r="CZ15" s="10">
        <v>34</v>
      </c>
      <c r="DA15" s="14">
        <v>0.006795922446532081</v>
      </c>
      <c r="DB15" s="56"/>
      <c r="DC15" s="55"/>
      <c r="DD15" s="56"/>
    </row>
    <row r="16" spans="1:108" ht="12.75">
      <c r="A16" s="8" t="s">
        <v>46</v>
      </c>
      <c r="B16" s="8"/>
      <c r="C16" s="43">
        <v>1638583.98</v>
      </c>
      <c r="D16" s="33">
        <f t="shared" si="11"/>
        <v>0.01792722440830069</v>
      </c>
      <c r="E16" s="46">
        <v>255</v>
      </c>
      <c r="F16" s="33">
        <f t="shared" si="12"/>
        <v>0.013429534442805983</v>
      </c>
      <c r="G16" s="33"/>
      <c r="H16" s="33"/>
      <c r="I16" s="9">
        <v>1398891.54</v>
      </c>
      <c r="J16" s="14">
        <f t="shared" si="13"/>
        <v>0.016812075041662378</v>
      </c>
      <c r="K16" s="10">
        <v>231</v>
      </c>
      <c r="L16" s="14">
        <f t="shared" si="14"/>
        <v>0.015214384508990318</v>
      </c>
      <c r="M16" s="56"/>
      <c r="N16" s="55"/>
      <c r="O16" s="56"/>
      <c r="P16" s="56"/>
      <c r="Q16" s="9">
        <v>1066385.08</v>
      </c>
      <c r="R16" s="14">
        <f t="shared" si="1"/>
        <v>0.014225865670955226</v>
      </c>
      <c r="S16" s="10">
        <v>177</v>
      </c>
      <c r="T16" s="14">
        <f t="shared" si="2"/>
        <v>0.012751242705856926</v>
      </c>
      <c r="U16" s="56"/>
      <c r="V16" s="55"/>
      <c r="W16" s="56"/>
      <c r="X16" s="56"/>
      <c r="Y16" s="9">
        <v>772901.54</v>
      </c>
      <c r="Z16" s="14">
        <f t="shared" si="3"/>
        <v>0.011361021961756415</v>
      </c>
      <c r="AA16" s="10">
        <v>157</v>
      </c>
      <c r="AB16" s="14">
        <f t="shared" si="4"/>
        <v>0.0121104597346498</v>
      </c>
      <c r="AC16" s="56"/>
      <c r="AD16" s="55"/>
      <c r="AE16" s="56"/>
      <c r="AF16" s="9">
        <v>670793.61</v>
      </c>
      <c r="AG16" s="14">
        <v>0.008710026387867964</v>
      </c>
      <c r="AH16" s="10">
        <v>120</v>
      </c>
      <c r="AI16" s="14">
        <v>0.008868243243243243</v>
      </c>
      <c r="AJ16" s="56"/>
      <c r="AK16" s="55"/>
      <c r="AL16" s="56"/>
      <c r="AM16" s="9">
        <v>561838.15</v>
      </c>
      <c r="AN16" s="14">
        <f t="shared" si="5"/>
        <v>0.010189634065242925</v>
      </c>
      <c r="AO16" s="10">
        <v>113</v>
      </c>
      <c r="AP16" s="14">
        <f t="shared" si="6"/>
        <v>0.010317750182615047</v>
      </c>
      <c r="AQ16" s="56"/>
      <c r="AR16" s="55"/>
      <c r="AS16" s="56"/>
      <c r="AT16" s="9">
        <v>442524.02</v>
      </c>
      <c r="AU16" s="14">
        <f t="shared" si="7"/>
        <v>0.00891334355592355</v>
      </c>
      <c r="AV16" s="10">
        <v>101</v>
      </c>
      <c r="AW16" s="14">
        <f t="shared" si="8"/>
        <v>0.010105052526263132</v>
      </c>
      <c r="AX16" s="56"/>
      <c r="AY16" s="55"/>
      <c r="AZ16" s="56"/>
      <c r="BA16" s="9">
        <v>298765.31</v>
      </c>
      <c r="BB16" s="14">
        <f t="shared" si="9"/>
        <v>0.0065803441745031135</v>
      </c>
      <c r="BC16" s="10">
        <v>84</v>
      </c>
      <c r="BD16" s="14">
        <f t="shared" si="10"/>
        <v>0.009036144578313253</v>
      </c>
      <c r="BE16" s="56"/>
      <c r="BF16" s="55"/>
      <c r="BG16" s="56"/>
      <c r="BH16" s="9">
        <v>304447.43</v>
      </c>
      <c r="BI16" s="14">
        <f>+BH16/BH23</f>
        <v>0.007387086809277276</v>
      </c>
      <c r="BJ16" s="10">
        <v>71</v>
      </c>
      <c r="BK16" s="14">
        <f t="shared" si="0"/>
        <v>0.008910642570281124</v>
      </c>
      <c r="BL16" s="56"/>
      <c r="BM16" s="55"/>
      <c r="BN16" s="56"/>
      <c r="BO16" s="9">
        <v>255885.29</v>
      </c>
      <c r="BP16" s="14">
        <v>0.006773813647776905</v>
      </c>
      <c r="BQ16" s="10">
        <v>69</v>
      </c>
      <c r="BR16" s="14">
        <v>0.009428805684613283</v>
      </c>
      <c r="BS16" s="56"/>
      <c r="BT16" s="55"/>
      <c r="BU16" s="56"/>
      <c r="BV16" s="9">
        <v>168846.24</v>
      </c>
      <c r="BW16" s="14">
        <v>0.004863601011067262</v>
      </c>
      <c r="BX16" s="10">
        <v>54</v>
      </c>
      <c r="BY16" s="14">
        <v>0.00804409354982869</v>
      </c>
      <c r="BZ16" s="56"/>
      <c r="CA16" s="55"/>
      <c r="CB16" s="56"/>
      <c r="CC16" s="9">
        <v>122016.66</v>
      </c>
      <c r="CD16" s="14">
        <v>0.0038130632848370786</v>
      </c>
      <c r="CE16" s="10">
        <v>45</v>
      </c>
      <c r="CF16" s="14">
        <v>0.00719654565808412</v>
      </c>
      <c r="CG16" s="56"/>
      <c r="CH16" s="55"/>
      <c r="CI16" s="56"/>
      <c r="CJ16" s="9">
        <v>82752.06</v>
      </c>
      <c r="CK16" s="14">
        <v>0.002787288319862511</v>
      </c>
      <c r="CL16" s="10">
        <v>30</v>
      </c>
      <c r="CM16" s="14">
        <v>0.005188516084399862</v>
      </c>
      <c r="CN16" s="56"/>
      <c r="CO16" s="55"/>
      <c r="CP16" s="56"/>
      <c r="CQ16" s="9">
        <v>71200.44</v>
      </c>
      <c r="CR16" s="14">
        <v>0.002584698332009327</v>
      </c>
      <c r="CS16" s="10">
        <v>38</v>
      </c>
      <c r="CT16" s="14">
        <v>0.007132132132132132</v>
      </c>
      <c r="CU16" s="56"/>
      <c r="CV16" s="55"/>
      <c r="CW16" s="56"/>
      <c r="CX16" s="9">
        <v>62538.65</v>
      </c>
      <c r="CY16" s="14">
        <v>0.002411019630148704</v>
      </c>
      <c r="CZ16" s="10">
        <v>41</v>
      </c>
      <c r="DA16" s="14">
        <v>0.008195082950229863</v>
      </c>
      <c r="DB16" s="56"/>
      <c r="DC16" s="55"/>
      <c r="DD16" s="56"/>
    </row>
    <row r="17" spans="1:108" ht="12.75">
      <c r="A17" s="8" t="s">
        <v>47</v>
      </c>
      <c r="B17" s="8"/>
      <c r="C17" s="43">
        <v>1901222.01</v>
      </c>
      <c r="D17" s="33">
        <f t="shared" si="11"/>
        <v>0.020800663279565628</v>
      </c>
      <c r="E17" s="46">
        <v>259</v>
      </c>
      <c r="F17" s="33">
        <f t="shared" si="12"/>
        <v>0.013640193806614704</v>
      </c>
      <c r="G17" s="33"/>
      <c r="H17" s="33"/>
      <c r="I17" s="9">
        <v>1474470.02</v>
      </c>
      <c r="J17" s="14">
        <f t="shared" si="13"/>
        <v>0.01772038783144076</v>
      </c>
      <c r="K17" s="10">
        <v>219</v>
      </c>
      <c r="L17" s="14">
        <f t="shared" si="14"/>
        <v>0.014424026872159653</v>
      </c>
      <c r="M17" s="56"/>
      <c r="N17" s="55"/>
      <c r="O17" s="56"/>
      <c r="P17" s="56"/>
      <c r="Q17" s="9">
        <v>1125186.13</v>
      </c>
      <c r="R17" s="14">
        <f t="shared" si="1"/>
        <v>0.015010287597236415</v>
      </c>
      <c r="S17" s="10">
        <v>169</v>
      </c>
      <c r="T17" s="14">
        <f t="shared" si="2"/>
        <v>0.01217491535191989</v>
      </c>
      <c r="U17" s="56"/>
      <c r="V17" s="55"/>
      <c r="W17" s="56"/>
      <c r="X17" s="56"/>
      <c r="Y17" s="9">
        <v>886142.6</v>
      </c>
      <c r="Z17" s="14">
        <f t="shared" si="3"/>
        <v>0.013025573140723628</v>
      </c>
      <c r="AA17" s="10">
        <v>157</v>
      </c>
      <c r="AB17" s="14">
        <f t="shared" si="4"/>
        <v>0.0121104597346498</v>
      </c>
      <c r="AC17" s="56"/>
      <c r="AD17" s="55"/>
      <c r="AE17" s="56"/>
      <c r="AF17" s="9">
        <v>521049.1</v>
      </c>
      <c r="AG17" s="14">
        <v>0.006702621787919904</v>
      </c>
      <c r="AH17" s="10">
        <v>107</v>
      </c>
      <c r="AI17" s="14">
        <v>0.007742117117117117</v>
      </c>
      <c r="AJ17" s="56"/>
      <c r="AK17" s="55"/>
      <c r="AL17" s="56"/>
      <c r="AM17" s="9">
        <v>421732.38</v>
      </c>
      <c r="AN17" s="14">
        <f t="shared" si="5"/>
        <v>0.007648641562813016</v>
      </c>
      <c r="AO17" s="10">
        <v>102</v>
      </c>
      <c r="AP17" s="14">
        <f t="shared" si="6"/>
        <v>0.00931336742147553</v>
      </c>
      <c r="AQ17" s="56"/>
      <c r="AR17" s="55"/>
      <c r="AS17" s="56"/>
      <c r="AT17" s="9">
        <v>335303.5</v>
      </c>
      <c r="AU17" s="14">
        <f t="shared" si="7"/>
        <v>0.006753701846520358</v>
      </c>
      <c r="AV17" s="10">
        <v>75</v>
      </c>
      <c r="AW17" s="14">
        <f t="shared" si="8"/>
        <v>0.007503751875937969</v>
      </c>
      <c r="AX17" s="56"/>
      <c r="AY17" s="55"/>
      <c r="AZ17" s="56"/>
      <c r="BA17" s="9">
        <v>346112.41</v>
      </c>
      <c r="BB17" s="14">
        <f t="shared" si="9"/>
        <v>0.0076231701092296595</v>
      </c>
      <c r="BC17" s="10">
        <v>74</v>
      </c>
      <c r="BD17" s="14">
        <f t="shared" si="10"/>
        <v>0.007960413080895009</v>
      </c>
      <c r="BE17" s="56"/>
      <c r="BF17" s="55"/>
      <c r="BG17" s="56"/>
      <c r="BH17" s="9">
        <v>243020</v>
      </c>
      <c r="BI17" s="14">
        <f>+BH17/BH23</f>
        <v>0.005896616819496763</v>
      </c>
      <c r="BJ17" s="10">
        <v>65</v>
      </c>
      <c r="BK17" s="14">
        <f t="shared" si="0"/>
        <v>0.008157630522088354</v>
      </c>
      <c r="BL17" s="56"/>
      <c r="BM17" s="55"/>
      <c r="BN17" s="56"/>
      <c r="BO17" s="9">
        <v>285070.76</v>
      </c>
      <c r="BP17" s="14">
        <v>0.007546413491256704</v>
      </c>
      <c r="BQ17" s="10">
        <v>82</v>
      </c>
      <c r="BR17" s="14">
        <v>0.011205247335337523</v>
      </c>
      <c r="BS17" s="56"/>
      <c r="BT17" s="55"/>
      <c r="BU17" s="56"/>
      <c r="BV17" s="9">
        <v>132938.49</v>
      </c>
      <c r="BW17" s="14">
        <v>0.0038292814478649638</v>
      </c>
      <c r="BX17" s="10">
        <v>49</v>
      </c>
      <c r="BY17" s="14">
        <v>0.0072992700729927005</v>
      </c>
      <c r="BZ17" s="56"/>
      <c r="CA17" s="55"/>
      <c r="CB17" s="56"/>
      <c r="CC17" s="9">
        <v>124232.81</v>
      </c>
      <c r="CD17" s="14">
        <v>0.0038823187471542066</v>
      </c>
      <c r="CE17" s="10">
        <v>43</v>
      </c>
      <c r="CF17" s="14">
        <v>0.006876699184391492</v>
      </c>
      <c r="CG17" s="56"/>
      <c r="CH17" s="55"/>
      <c r="CI17" s="56"/>
      <c r="CJ17" s="9">
        <v>134440.76</v>
      </c>
      <c r="CK17" s="14">
        <v>0.004528287997440054</v>
      </c>
      <c r="CL17" s="10">
        <v>49</v>
      </c>
      <c r="CM17" s="14">
        <v>0.00847457627118644</v>
      </c>
      <c r="CN17" s="56"/>
      <c r="CO17" s="55"/>
      <c r="CP17" s="56"/>
      <c r="CQ17" s="9">
        <v>122840.51</v>
      </c>
      <c r="CR17" s="14">
        <v>0.004459321617958751</v>
      </c>
      <c r="CS17" s="10">
        <v>46</v>
      </c>
      <c r="CT17" s="14">
        <v>0.008633633633633633</v>
      </c>
      <c r="CU17" s="56"/>
      <c r="CV17" s="55"/>
      <c r="CW17" s="56"/>
      <c r="CX17" s="9">
        <v>87040.87</v>
      </c>
      <c r="CY17" s="14">
        <v>0.003355640810846117</v>
      </c>
      <c r="CZ17" s="10">
        <v>41</v>
      </c>
      <c r="DA17" s="14">
        <v>0.008195082950229863</v>
      </c>
      <c r="DB17" s="56"/>
      <c r="DC17" s="55"/>
      <c r="DD17" s="56"/>
    </row>
    <row r="18" spans="1:108" ht="12.75">
      <c r="A18" s="8" t="s">
        <v>48</v>
      </c>
      <c r="B18" s="8"/>
      <c r="C18" s="43">
        <v>1478964.51</v>
      </c>
      <c r="D18" s="33">
        <f t="shared" si="11"/>
        <v>0.016180878725960978</v>
      </c>
      <c r="E18" s="46">
        <v>238</v>
      </c>
      <c r="F18" s="33">
        <f t="shared" si="12"/>
        <v>0.012534232146618918</v>
      </c>
      <c r="G18" s="33"/>
      <c r="H18" s="33"/>
      <c r="I18" s="9">
        <v>1496485.64</v>
      </c>
      <c r="J18" s="14">
        <f t="shared" si="13"/>
        <v>0.017984974645318213</v>
      </c>
      <c r="K18" s="10">
        <v>204</v>
      </c>
      <c r="L18" s="14">
        <f t="shared" si="14"/>
        <v>0.01343607982612132</v>
      </c>
      <c r="M18" s="56"/>
      <c r="N18" s="55"/>
      <c r="O18" s="56"/>
      <c r="P18" s="56"/>
      <c r="Q18" s="9">
        <v>1191480.35</v>
      </c>
      <c r="R18" s="14">
        <f t="shared" si="1"/>
        <v>0.015894670439952817</v>
      </c>
      <c r="S18" s="10">
        <v>185</v>
      </c>
      <c r="T18" s="14">
        <f t="shared" si="2"/>
        <v>0.013327570059793964</v>
      </c>
      <c r="U18" s="56"/>
      <c r="V18" s="55"/>
      <c r="W18" s="56"/>
      <c r="X18" s="56"/>
      <c r="Y18" s="9">
        <v>789838.57</v>
      </c>
      <c r="Z18" s="14">
        <f t="shared" si="3"/>
        <v>0.011609982482390034</v>
      </c>
      <c r="AA18" s="10">
        <v>140</v>
      </c>
      <c r="AB18" s="14">
        <f t="shared" si="4"/>
        <v>0.01079913606911447</v>
      </c>
      <c r="AC18" s="56"/>
      <c r="AD18" s="55"/>
      <c r="AE18" s="56"/>
      <c r="AF18" s="9">
        <v>763319.78</v>
      </c>
      <c r="AG18" s="14">
        <v>0.009741460262631597</v>
      </c>
      <c r="AH18" s="10">
        <v>134</v>
      </c>
      <c r="AI18" s="14">
        <v>0.009642454954954955</v>
      </c>
      <c r="AJ18" s="56"/>
      <c r="AK18" s="55"/>
      <c r="AL18" s="56"/>
      <c r="AM18" s="9">
        <v>724386.92</v>
      </c>
      <c r="AN18" s="14">
        <f t="shared" si="5"/>
        <v>0.013137658303282541</v>
      </c>
      <c r="AO18" s="10">
        <v>133</v>
      </c>
      <c r="AP18" s="14">
        <f t="shared" si="6"/>
        <v>0.01214390065741417</v>
      </c>
      <c r="AQ18" s="56"/>
      <c r="AR18" s="55"/>
      <c r="AS18" s="56"/>
      <c r="AT18" s="9">
        <v>468125.43</v>
      </c>
      <c r="AU18" s="14">
        <f t="shared" si="7"/>
        <v>0.009429008587724663</v>
      </c>
      <c r="AV18" s="10">
        <v>103</v>
      </c>
      <c r="AW18" s="14">
        <f t="shared" si="8"/>
        <v>0.010305152576288144</v>
      </c>
      <c r="AX18" s="56"/>
      <c r="AY18" s="55"/>
      <c r="AZ18" s="56"/>
      <c r="BA18" s="9">
        <v>363608.45</v>
      </c>
      <c r="BB18" s="14">
        <f t="shared" si="9"/>
        <v>0.00800852262853946</v>
      </c>
      <c r="BC18" s="10">
        <v>84</v>
      </c>
      <c r="BD18" s="14">
        <f t="shared" si="10"/>
        <v>0.009036144578313253</v>
      </c>
      <c r="BE18" s="56"/>
      <c r="BF18" s="55"/>
      <c r="BG18" s="56"/>
      <c r="BH18" s="9">
        <v>311409.79</v>
      </c>
      <c r="BI18" s="14">
        <f>+BH18/BH23</f>
        <v>0.007556020926137581</v>
      </c>
      <c r="BJ18" s="10">
        <v>74</v>
      </c>
      <c r="BK18" s="14">
        <f t="shared" si="0"/>
        <v>0.00928714859437751</v>
      </c>
      <c r="BL18" s="56"/>
      <c r="BM18" s="55"/>
      <c r="BN18" s="56"/>
      <c r="BO18" s="9">
        <v>212521.75</v>
      </c>
      <c r="BP18" s="14">
        <v>0.005625890924012991</v>
      </c>
      <c r="BQ18" s="10">
        <v>60</v>
      </c>
      <c r="BR18" s="14">
        <v>0.008198961464881116</v>
      </c>
      <c r="BS18" s="56"/>
      <c r="BT18" s="55"/>
      <c r="BU18" s="56"/>
      <c r="BV18" s="9">
        <v>253825.3</v>
      </c>
      <c r="BW18" s="14">
        <v>0.00731141531913563</v>
      </c>
      <c r="BX18" s="10">
        <v>67</v>
      </c>
      <c r="BY18" s="14">
        <v>0.009980634589602265</v>
      </c>
      <c r="BZ18" s="56"/>
      <c r="CA18" s="55"/>
      <c r="CB18" s="56"/>
      <c r="CC18" s="9">
        <v>114871.78</v>
      </c>
      <c r="CD18" s="14">
        <v>0.0035897832868223246</v>
      </c>
      <c r="CE18" s="10">
        <v>53</v>
      </c>
      <c r="CF18" s="14">
        <v>0.00847593155285463</v>
      </c>
      <c r="CG18" s="56"/>
      <c r="CH18" s="55"/>
      <c r="CI18" s="56"/>
      <c r="CJ18" s="9">
        <v>112395.42</v>
      </c>
      <c r="CK18" s="14">
        <v>0.0037857479484141097</v>
      </c>
      <c r="CL18" s="10">
        <v>51</v>
      </c>
      <c r="CM18" s="14">
        <v>0.008820477343479766</v>
      </c>
      <c r="CN18" s="56"/>
      <c r="CO18" s="55"/>
      <c r="CP18" s="56"/>
      <c r="CQ18" s="9">
        <v>104678.15</v>
      </c>
      <c r="CR18" s="14">
        <v>0.0037999967374193486</v>
      </c>
      <c r="CS18" s="10">
        <v>48</v>
      </c>
      <c r="CT18" s="14">
        <v>0.009009009009009009</v>
      </c>
      <c r="CU18" s="56"/>
      <c r="CV18" s="55"/>
      <c r="CW18" s="56"/>
      <c r="CX18" s="9">
        <v>63552.25</v>
      </c>
      <c r="CY18" s="14">
        <v>0.0024500964170176055</v>
      </c>
      <c r="CZ18" s="10">
        <v>38</v>
      </c>
      <c r="DA18" s="14">
        <v>0.007595442734359384</v>
      </c>
      <c r="DB18" s="56"/>
      <c r="DC18" s="55"/>
      <c r="DD18" s="56"/>
    </row>
    <row r="19" spans="1:108" ht="12.75">
      <c r="A19" s="8" t="s">
        <v>77</v>
      </c>
      <c r="B19" s="8"/>
      <c r="C19" s="43">
        <v>4254951.67</v>
      </c>
      <c r="D19" s="33">
        <f t="shared" si="11"/>
        <v>0.046552068350237244</v>
      </c>
      <c r="E19" s="46">
        <v>645</v>
      </c>
      <c r="F19" s="33">
        <f t="shared" si="12"/>
        <v>0.03396882241415631</v>
      </c>
      <c r="G19" s="33"/>
      <c r="H19" s="33"/>
      <c r="I19" s="9">
        <v>4330226.829999994</v>
      </c>
      <c r="J19" s="14">
        <f t="shared" si="13"/>
        <v>0.052041274345958004</v>
      </c>
      <c r="K19" s="10">
        <v>651</v>
      </c>
      <c r="L19" s="14">
        <f t="shared" si="14"/>
        <v>0.042876901798063624</v>
      </c>
      <c r="M19" s="56"/>
      <c r="N19" s="55"/>
      <c r="O19" s="56"/>
      <c r="P19" s="56"/>
      <c r="Q19" s="9">
        <v>4061376.44</v>
      </c>
      <c r="R19" s="14">
        <f t="shared" si="1"/>
        <v>0.054179861251080465</v>
      </c>
      <c r="S19" s="10">
        <v>584</v>
      </c>
      <c r="T19" s="14">
        <f t="shared" si="2"/>
        <v>0.042071896837403644</v>
      </c>
      <c r="U19" s="56"/>
      <c r="V19" s="55"/>
      <c r="W19" s="56"/>
      <c r="X19" s="56"/>
      <c r="Y19" s="9">
        <f>1136964.07+1054755.24+1104462.74</f>
        <v>3296182.05</v>
      </c>
      <c r="Z19" s="14">
        <f t="shared" si="3"/>
        <v>0.04845118649912028</v>
      </c>
      <c r="AA19" s="10">
        <f>169+171+166</f>
        <v>506</v>
      </c>
      <c r="AB19" s="14">
        <f t="shared" si="4"/>
        <v>0.039031163221228016</v>
      </c>
      <c r="AC19" s="56"/>
      <c r="AD19" s="55"/>
      <c r="AE19" s="56"/>
      <c r="AF19" s="9">
        <f>766525.1+719081.97+927099.37</f>
        <v>2412706.44</v>
      </c>
      <c r="AG19" s="14">
        <v>0.03023950852184267</v>
      </c>
      <c r="AH19" s="10">
        <f>138+132+145</f>
        <v>415</v>
      </c>
      <c r="AI19" s="14">
        <v>0.02949042792792793</v>
      </c>
      <c r="AJ19" s="56"/>
      <c r="AK19" s="55"/>
      <c r="AL19" s="56"/>
      <c r="AM19" s="9">
        <f>592778.65+590920.7+626428.13</f>
        <v>1810127.48</v>
      </c>
      <c r="AN19" s="14">
        <f t="shared" si="5"/>
        <v>0.032828914577339274</v>
      </c>
      <c r="AO19" s="10">
        <f>109+120+121</f>
        <v>350</v>
      </c>
      <c r="AP19" s="14">
        <f t="shared" si="6"/>
        <v>0.03195763330898466</v>
      </c>
      <c r="AQ19" s="56"/>
      <c r="AR19" s="55"/>
      <c r="AS19" s="56"/>
      <c r="AT19" s="9">
        <v>1512347.83</v>
      </c>
      <c r="AU19" s="14">
        <f t="shared" si="7"/>
        <v>0.030461794559412763</v>
      </c>
      <c r="AV19" s="10">
        <v>317</v>
      </c>
      <c r="AW19" s="14">
        <f t="shared" si="8"/>
        <v>0.03171585792896448</v>
      </c>
      <c r="AX19" s="56"/>
      <c r="AY19" s="55"/>
      <c r="AZ19" s="56"/>
      <c r="BA19" s="9">
        <f>487360.06+314076.99+368300.09</f>
        <v>1169737.1400000001</v>
      </c>
      <c r="BB19" s="14">
        <f t="shared" si="9"/>
        <v>0.025763610155740416</v>
      </c>
      <c r="BC19" s="10">
        <f>96+76+98</f>
        <v>270</v>
      </c>
      <c r="BD19" s="14">
        <f t="shared" si="10"/>
        <v>0.029044750430292598</v>
      </c>
      <c r="BE19" s="56"/>
      <c r="BF19" s="55"/>
      <c r="BG19" s="56"/>
      <c r="BH19" s="9">
        <f>245880.91+349990.35+458335.78</f>
        <v>1054207.04</v>
      </c>
      <c r="BI19" s="14">
        <f>+BH19/BH23</f>
        <v>0.025579190862052084</v>
      </c>
      <c r="BJ19" s="10">
        <f>77+84+99</f>
        <v>260</v>
      </c>
      <c r="BK19" s="14">
        <f t="shared" si="0"/>
        <v>0.03263052208835342</v>
      </c>
      <c r="BL19" s="56"/>
      <c r="BM19" s="55"/>
      <c r="BN19" s="56"/>
      <c r="BO19" s="9">
        <v>832245.7</v>
      </c>
      <c r="BP19" s="14">
        <v>0.022031267529929704</v>
      </c>
      <c r="BQ19" s="10">
        <v>232</v>
      </c>
      <c r="BR19" s="14">
        <v>0.03170265099754031</v>
      </c>
      <c r="BS19" s="56"/>
      <c r="BT19" s="55"/>
      <c r="BU19" s="56"/>
      <c r="BV19" s="9">
        <v>693163.64</v>
      </c>
      <c r="BW19" s="14">
        <v>0.01996651734938879</v>
      </c>
      <c r="BX19" s="10">
        <v>197</v>
      </c>
      <c r="BY19" s="14">
        <v>0.029346044987338</v>
      </c>
      <c r="BZ19" s="56"/>
      <c r="CA19" s="55"/>
      <c r="CB19" s="56"/>
      <c r="CC19" s="9">
        <v>506386.25</v>
      </c>
      <c r="CD19" s="14">
        <v>0.015824747356806272</v>
      </c>
      <c r="CE19" s="10">
        <v>175</v>
      </c>
      <c r="CF19" s="14">
        <v>0.027986566448104908</v>
      </c>
      <c r="CG19" s="56"/>
      <c r="CH19" s="55"/>
      <c r="CI19" s="56"/>
      <c r="CJ19" s="9">
        <v>380847.43</v>
      </c>
      <c r="CK19" s="14">
        <v>0.012827857013936043</v>
      </c>
      <c r="CL19" s="10">
        <v>155</v>
      </c>
      <c r="CM19" s="14">
        <v>0.02680733310273262</v>
      </c>
      <c r="CN19" s="56"/>
      <c r="CO19" s="55"/>
      <c r="CP19" s="56"/>
      <c r="CQ19" s="9">
        <v>334058.07</v>
      </c>
      <c r="CR19" s="14">
        <v>0.01212688202942643</v>
      </c>
      <c r="CS19" s="10">
        <v>137</v>
      </c>
      <c r="CT19" s="14">
        <v>0.025713213213213213</v>
      </c>
      <c r="CU19" s="56"/>
      <c r="CV19" s="55"/>
      <c r="CW19" s="56"/>
      <c r="CX19" s="9">
        <v>331815.39</v>
      </c>
      <c r="CY19" s="14">
        <v>0.012792303941249904</v>
      </c>
      <c r="CZ19" s="10">
        <v>137</v>
      </c>
      <c r="DA19" s="14">
        <v>0.027383569858085148</v>
      </c>
      <c r="DB19" s="56"/>
      <c r="DC19" s="55"/>
      <c r="DD19" s="56"/>
    </row>
    <row r="20" spans="1:108" ht="12.75">
      <c r="A20" s="8" t="s">
        <v>78</v>
      </c>
      <c r="B20" s="8"/>
      <c r="C20" s="43">
        <v>3431417.91</v>
      </c>
      <c r="D20" s="33">
        <f t="shared" si="11"/>
        <v>0.03754204829418151</v>
      </c>
      <c r="E20" s="46">
        <v>511</v>
      </c>
      <c r="F20" s="33">
        <f t="shared" si="12"/>
        <v>0.026911733726564146</v>
      </c>
      <c r="G20" s="33"/>
      <c r="H20" s="33"/>
      <c r="I20" s="9">
        <v>3833098</v>
      </c>
      <c r="J20" s="14">
        <f t="shared" si="13"/>
        <v>0.046066710231192035</v>
      </c>
      <c r="K20" s="10">
        <v>604</v>
      </c>
      <c r="L20" s="14">
        <f t="shared" si="14"/>
        <v>0.03978133438714351</v>
      </c>
      <c r="M20" s="56"/>
      <c r="N20" s="55"/>
      <c r="O20" s="56"/>
      <c r="P20" s="56"/>
      <c r="Q20" s="9">
        <v>3959864.32</v>
      </c>
      <c r="R20" s="14">
        <f t="shared" si="1"/>
        <v>0.05282566208777832</v>
      </c>
      <c r="S20" s="10">
        <v>601</v>
      </c>
      <c r="T20" s="14">
        <f t="shared" si="2"/>
        <v>0.04329659246451985</v>
      </c>
      <c r="U20" s="56"/>
      <c r="V20" s="55"/>
      <c r="W20" s="56"/>
      <c r="X20" s="56"/>
      <c r="Y20" s="9">
        <f>1251434.15+1287057.91+1124855.46+127725.41</f>
        <v>3791072.9299999997</v>
      </c>
      <c r="Z20" s="14">
        <f t="shared" si="3"/>
        <v>0.05572567861147001</v>
      </c>
      <c r="AA20" s="10">
        <f>191+189+180+201</f>
        <v>761</v>
      </c>
      <c r="AB20" s="14">
        <f t="shared" si="4"/>
        <v>0.058701018204257945</v>
      </c>
      <c r="AC20" s="56"/>
      <c r="AD20" s="55"/>
      <c r="AE20" s="56"/>
      <c r="AF20" s="9">
        <f>1125382.81+936320.47+1174453.32+86061.46</f>
        <v>3322218.06</v>
      </c>
      <c r="AG20" s="14">
        <v>0.0403086211617132</v>
      </c>
      <c r="AH20" s="10">
        <f>168+147+167+289</f>
        <v>771</v>
      </c>
      <c r="AI20" s="14">
        <v>0.03392454954954955</v>
      </c>
      <c r="AJ20" s="56"/>
      <c r="AK20" s="55"/>
      <c r="AL20" s="56"/>
      <c r="AM20" s="9">
        <f>787523.68+853004.77+893664.44+102303.54</f>
        <v>2636496.43</v>
      </c>
      <c r="AN20" s="14">
        <f t="shared" si="5"/>
        <v>0.04781614391265413</v>
      </c>
      <c r="AO20" s="10">
        <f>138+144+146+380</f>
        <v>808</v>
      </c>
      <c r="AP20" s="14">
        <f t="shared" si="6"/>
        <v>0.07377647918188458</v>
      </c>
      <c r="AQ20" s="56"/>
      <c r="AR20" s="55"/>
      <c r="AS20" s="56"/>
      <c r="AT20" s="9">
        <f>1921145+78444.38</f>
        <v>1999589.38</v>
      </c>
      <c r="AU20" s="14">
        <f t="shared" si="7"/>
        <v>0.040275841105113716</v>
      </c>
      <c r="AV20" s="10">
        <f>350+454</f>
        <v>804</v>
      </c>
      <c r="AW20" s="14">
        <f t="shared" si="8"/>
        <v>0.08044022011005503</v>
      </c>
      <c r="AX20" s="56"/>
      <c r="AY20" s="55"/>
      <c r="AZ20" s="56"/>
      <c r="BA20" s="9">
        <f>532413.61+532562.16+546153.8+107586.95</f>
        <v>1718716.52</v>
      </c>
      <c r="BB20" s="14">
        <f t="shared" si="9"/>
        <v>0.037854951232471616</v>
      </c>
      <c r="BC20" s="10">
        <f>106+110+99+530</f>
        <v>845</v>
      </c>
      <c r="BD20" s="14">
        <f t="shared" si="10"/>
        <v>0.09089931153184165</v>
      </c>
      <c r="BE20" s="56"/>
      <c r="BF20" s="55"/>
      <c r="BG20" s="56"/>
      <c r="BH20" s="9">
        <f>415435.54+413191.39+416910.27</f>
        <v>1245537.2</v>
      </c>
      <c r="BI20" s="14">
        <f>+BH20/BH23</f>
        <v>0.030221609755694608</v>
      </c>
      <c r="BJ20" s="10">
        <f>91+85+99</f>
        <v>275</v>
      </c>
      <c r="BK20" s="14">
        <f t="shared" si="0"/>
        <v>0.03451305220883534</v>
      </c>
      <c r="BL20" s="56"/>
      <c r="BM20" s="55"/>
      <c r="BN20" s="56"/>
      <c r="BO20" s="9">
        <v>1194517.64</v>
      </c>
      <c r="BP20" s="14">
        <v>0.03162135616448392</v>
      </c>
      <c r="BQ20" s="10">
        <v>264</v>
      </c>
      <c r="BR20" s="14">
        <v>0.036075430445476904</v>
      </c>
      <c r="BS20" s="56"/>
      <c r="BT20" s="55"/>
      <c r="BU20" s="56"/>
      <c r="BV20" s="9">
        <v>906729.23</v>
      </c>
      <c r="BW20" s="14">
        <v>0.026118255282393265</v>
      </c>
      <c r="BX20" s="10">
        <v>222</v>
      </c>
      <c r="BY20" s="14">
        <v>0.03307016237151795</v>
      </c>
      <c r="BZ20" s="56"/>
      <c r="CA20" s="55"/>
      <c r="CB20" s="56"/>
      <c r="CC20" s="9">
        <v>793896.21</v>
      </c>
      <c r="CD20" s="14">
        <v>0.024809534126916014</v>
      </c>
      <c r="CE20" s="10">
        <v>202</v>
      </c>
      <c r="CF20" s="14">
        <v>0.03230449384295538</v>
      </c>
      <c r="CG20" s="56"/>
      <c r="CH20" s="55"/>
      <c r="CI20" s="56"/>
      <c r="CJ20" s="9">
        <v>616579.95</v>
      </c>
      <c r="CK20" s="14">
        <v>0.020767894997374234</v>
      </c>
      <c r="CL20" s="10">
        <v>181</v>
      </c>
      <c r="CM20" s="14">
        <v>0.03130404704254583</v>
      </c>
      <c r="CN20" s="56"/>
      <c r="CO20" s="55"/>
      <c r="CP20" s="56"/>
      <c r="CQ20" s="9">
        <v>505852.69</v>
      </c>
      <c r="CR20" s="14">
        <v>0.018363321969434892</v>
      </c>
      <c r="CS20" s="10">
        <v>178</v>
      </c>
      <c r="CT20" s="14">
        <v>0.03340840840840841</v>
      </c>
      <c r="CU20" s="56"/>
      <c r="CV20" s="55"/>
      <c r="CW20" s="56"/>
      <c r="CX20" s="9">
        <v>458793.77</v>
      </c>
      <c r="CY20" s="14">
        <v>0.01768763453736099</v>
      </c>
      <c r="CZ20" s="10">
        <v>164</v>
      </c>
      <c r="DA20" s="14">
        <v>0.03278033180091945</v>
      </c>
      <c r="DB20" s="56"/>
      <c r="DC20" s="55"/>
      <c r="DD20" s="56"/>
    </row>
    <row r="21" spans="1:108" ht="12.75">
      <c r="A21" s="8" t="s">
        <v>49</v>
      </c>
      <c r="B21" s="8"/>
      <c r="C21" s="43">
        <v>9632738.89000001</v>
      </c>
      <c r="D21" s="33">
        <f t="shared" si="11"/>
        <v>0.10538872212554859</v>
      </c>
      <c r="E21" s="46">
        <v>1531</v>
      </c>
      <c r="F21" s="33">
        <f t="shared" si="12"/>
        <v>0.08062987149778808</v>
      </c>
      <c r="G21" s="33"/>
      <c r="H21" s="33"/>
      <c r="I21" s="9">
        <v>11207148.87</v>
      </c>
      <c r="J21" s="14">
        <f t="shared" si="13"/>
        <v>0.13468908948117714</v>
      </c>
      <c r="K21" s="10">
        <v>1742</v>
      </c>
      <c r="L21" s="14">
        <f t="shared" si="14"/>
        <v>0.11473358361325166</v>
      </c>
      <c r="M21" s="56"/>
      <c r="N21" s="55"/>
      <c r="O21" s="56"/>
      <c r="P21" s="56"/>
      <c r="Q21" s="9">
        <v>13285889.47</v>
      </c>
      <c r="R21" s="14">
        <f t="shared" si="1"/>
        <v>0.17723736243513322</v>
      </c>
      <c r="S21" s="10">
        <v>2021</v>
      </c>
      <c r="T21" s="14">
        <f t="shared" si="2"/>
        <v>0.14559469778834377</v>
      </c>
      <c r="U21" s="56"/>
      <c r="V21" s="55"/>
      <c r="W21" s="56"/>
      <c r="X21" s="56"/>
      <c r="Y21" s="9">
        <v>15755848.71</v>
      </c>
      <c r="Z21" s="14">
        <f t="shared" si="3"/>
        <v>0.23159811949711145</v>
      </c>
      <c r="AA21" s="10">
        <v>2351</v>
      </c>
      <c r="AB21" s="14">
        <f t="shared" si="4"/>
        <v>0.18134834927491514</v>
      </c>
      <c r="AC21" s="56"/>
      <c r="AD21" s="55"/>
      <c r="AE21" s="56"/>
      <c r="AF21" s="9">
        <v>17665593.88</v>
      </c>
      <c r="AG21" s="14">
        <v>0.2206305502607704</v>
      </c>
      <c r="AH21" s="10">
        <v>2645</v>
      </c>
      <c r="AI21" s="14">
        <v>0.18658502252252251</v>
      </c>
      <c r="AJ21" s="56"/>
      <c r="AK21" s="55"/>
      <c r="AL21" s="56"/>
      <c r="AM21" s="9">
        <v>19194749.52</v>
      </c>
      <c r="AN21" s="14">
        <f t="shared" si="5"/>
        <v>0.3481206706643137</v>
      </c>
      <c r="AO21" s="10">
        <v>2833</v>
      </c>
      <c r="AP21" s="14">
        <f t="shared" si="6"/>
        <v>0.25867421475529584</v>
      </c>
      <c r="AQ21" s="56"/>
      <c r="AR21" s="55"/>
      <c r="AS21" s="56"/>
      <c r="AT21" s="9">
        <v>20239784.2</v>
      </c>
      <c r="AU21" s="14">
        <f t="shared" si="7"/>
        <v>0.4076708651258146</v>
      </c>
      <c r="AV21" s="10">
        <v>2977</v>
      </c>
      <c r="AW21" s="14">
        <f t="shared" si="8"/>
        <v>0.2978489244622311</v>
      </c>
      <c r="AX21" s="56"/>
      <c r="AY21" s="55"/>
      <c r="AZ21" s="56"/>
      <c r="BA21" s="9">
        <v>20967622.38</v>
      </c>
      <c r="BB21" s="14">
        <f t="shared" si="9"/>
        <v>0.46181456535704934</v>
      </c>
      <c r="BC21" s="10">
        <v>3085</v>
      </c>
      <c r="BD21" s="14">
        <f t="shared" si="10"/>
        <v>0.3318631669535284</v>
      </c>
      <c r="BE21" s="56"/>
      <c r="BF21" s="55"/>
      <c r="BG21" s="56"/>
      <c r="BH21" s="9">
        <v>21355489.72</v>
      </c>
      <c r="BI21" s="14">
        <f>+BH21/BH23</f>
        <v>0.5181678045903308</v>
      </c>
      <c r="BJ21" s="10">
        <v>3143</v>
      </c>
      <c r="BK21" s="14">
        <f t="shared" si="0"/>
        <v>0.39445281124497994</v>
      </c>
      <c r="BL21" s="56"/>
      <c r="BM21" s="55"/>
      <c r="BN21" s="56"/>
      <c r="BO21" s="9">
        <v>21355396.80000002</v>
      </c>
      <c r="BP21" s="14">
        <v>0.5653215872531453</v>
      </c>
      <c r="BQ21" s="10">
        <v>3162</v>
      </c>
      <c r="BR21" s="14">
        <v>0.4320852691992348</v>
      </c>
      <c r="BS21" s="56"/>
      <c r="BT21" s="55"/>
      <c r="BU21" s="56"/>
      <c r="BV21" s="9">
        <v>21576292.48999999</v>
      </c>
      <c r="BW21" s="14">
        <v>0.621503197047485</v>
      </c>
      <c r="BX21" s="10">
        <v>3218</v>
      </c>
      <c r="BY21" s="14">
        <v>0.4793683896916431</v>
      </c>
      <c r="BZ21" s="56"/>
      <c r="CA21" s="55"/>
      <c r="CB21" s="56"/>
      <c r="CC21" s="9">
        <v>21523153.920000017</v>
      </c>
      <c r="CD21" s="14">
        <v>0.6726060849907652</v>
      </c>
      <c r="CE21" s="10">
        <v>3222</v>
      </c>
      <c r="CF21" s="14">
        <v>0.515272669118823</v>
      </c>
      <c r="CG21" s="56"/>
      <c r="CH21" s="55"/>
      <c r="CI21" s="56"/>
      <c r="CJ21" s="9">
        <v>21417789.180000048</v>
      </c>
      <c r="CK21" s="14">
        <v>0.7214026287525871</v>
      </c>
      <c r="CL21" s="10">
        <v>3218</v>
      </c>
      <c r="CM21" s="14">
        <v>0.5565548253199585</v>
      </c>
      <c r="CN21" s="56"/>
      <c r="CO21" s="55"/>
      <c r="CP21" s="56"/>
      <c r="CQ21" s="9">
        <v>21062835.019999996</v>
      </c>
      <c r="CR21" s="14">
        <v>0.7646171083153647</v>
      </c>
      <c r="CS21" s="10">
        <v>3176</v>
      </c>
      <c r="CT21" s="14">
        <v>0.5960960960960962</v>
      </c>
      <c r="CU21" s="56"/>
      <c r="CV21" s="55"/>
      <c r="CW21" s="56"/>
      <c r="CX21" s="9">
        <v>20772829.600000016</v>
      </c>
      <c r="CY21" s="14">
        <v>0.8008439571262589</v>
      </c>
      <c r="CZ21" s="10">
        <v>3151</v>
      </c>
      <c r="DA21" s="14">
        <v>0.6298221067359584</v>
      </c>
      <c r="DB21" s="56"/>
      <c r="DC21" s="55"/>
      <c r="DD21" s="56"/>
    </row>
    <row r="22" spans="1:108" ht="12.75">
      <c r="A22" s="8"/>
      <c r="B22" s="8"/>
      <c r="C22" s="43"/>
      <c r="D22" s="8"/>
      <c r="E22" s="46"/>
      <c r="F22" s="33"/>
      <c r="G22" s="33"/>
      <c r="H22" s="33"/>
      <c r="I22" s="9"/>
      <c r="J22" s="8"/>
      <c r="K22" s="10"/>
      <c r="L22" s="8"/>
      <c r="M22" s="54"/>
      <c r="N22" s="55"/>
      <c r="O22" s="54"/>
      <c r="P22" s="54"/>
      <c r="Q22" s="9"/>
      <c r="R22" s="8"/>
      <c r="S22" s="10"/>
      <c r="T22" s="8"/>
      <c r="U22" s="54"/>
      <c r="V22" s="55"/>
      <c r="W22" s="54"/>
      <c r="X22" s="54"/>
      <c r="Y22" s="9"/>
      <c r="Z22" s="8"/>
      <c r="AA22" s="10"/>
      <c r="AB22" s="8"/>
      <c r="AC22" s="54"/>
      <c r="AD22" s="55"/>
      <c r="AE22" s="54"/>
      <c r="AF22" s="9"/>
      <c r="AG22" s="8"/>
      <c r="AH22" s="10"/>
      <c r="AI22" s="8"/>
      <c r="AJ22" s="54"/>
      <c r="AK22" s="55"/>
      <c r="AL22" s="54"/>
      <c r="AM22" s="9"/>
      <c r="AN22" s="8"/>
      <c r="AO22" s="10"/>
      <c r="AP22" s="8"/>
      <c r="AQ22" s="54"/>
      <c r="AR22" s="55"/>
      <c r="AS22" s="54"/>
      <c r="AT22" s="9"/>
      <c r="AU22" s="8"/>
      <c r="AV22" s="10"/>
      <c r="AW22" s="8"/>
      <c r="AX22" s="54"/>
      <c r="AY22" s="55"/>
      <c r="AZ22" s="54"/>
      <c r="BA22" s="9"/>
      <c r="BB22" s="8"/>
      <c r="BC22" s="10"/>
      <c r="BD22" s="8"/>
      <c r="BE22" s="54"/>
      <c r="BF22" s="55"/>
      <c r="BG22" s="54"/>
      <c r="BH22" s="9"/>
      <c r="BI22" s="8"/>
      <c r="BJ22" s="10"/>
      <c r="BK22" s="8"/>
      <c r="BL22" s="54"/>
      <c r="BM22" s="55"/>
      <c r="BN22" s="54"/>
      <c r="BO22" s="9"/>
      <c r="BP22" s="8"/>
      <c r="BQ22" s="10"/>
      <c r="BR22" s="8"/>
      <c r="BS22" s="54"/>
      <c r="BT22" s="55"/>
      <c r="BU22" s="54"/>
      <c r="BV22" s="9"/>
      <c r="BW22" s="8"/>
      <c r="BX22" s="10"/>
      <c r="BY22" s="8"/>
      <c r="BZ22" s="54"/>
      <c r="CA22" s="55"/>
      <c r="CB22" s="54"/>
      <c r="CC22" s="9"/>
      <c r="CD22" s="8"/>
      <c r="CE22" s="10"/>
      <c r="CF22" s="8"/>
      <c r="CG22" s="54"/>
      <c r="CH22" s="55"/>
      <c r="CI22" s="54"/>
      <c r="CJ22" s="9"/>
      <c r="CK22" s="8"/>
      <c r="CL22" s="10"/>
      <c r="CM22" s="8"/>
      <c r="CN22" s="54"/>
      <c r="CO22" s="55"/>
      <c r="CP22" s="54"/>
      <c r="CQ22" s="9"/>
      <c r="CR22" s="8"/>
      <c r="CS22" s="10"/>
      <c r="CT22" s="8"/>
      <c r="CU22" s="54"/>
      <c r="CV22" s="55"/>
      <c r="CW22" s="54"/>
      <c r="CX22" s="9"/>
      <c r="CY22" s="8"/>
      <c r="CZ22" s="10"/>
      <c r="DA22" s="8"/>
      <c r="DB22" s="54"/>
      <c r="DC22" s="55"/>
      <c r="DD22" s="54"/>
    </row>
    <row r="23" spans="1:108" ht="13.5" thickBot="1">
      <c r="A23" s="8"/>
      <c r="B23" s="8"/>
      <c r="C23" s="78">
        <f>SUM(C13:C21)</f>
        <v>91401989.66000004</v>
      </c>
      <c r="D23" s="12"/>
      <c r="E23" s="79">
        <f>SUM(E13:E21)</f>
        <v>18988</v>
      </c>
      <c r="F23" s="8"/>
      <c r="G23" s="8"/>
      <c r="H23" s="8"/>
      <c r="I23" s="21">
        <f>SUM(I13:I22)</f>
        <v>83207547.94000001</v>
      </c>
      <c r="J23" s="12"/>
      <c r="K23" s="22">
        <f>SUM(K13:K22)</f>
        <v>15183</v>
      </c>
      <c r="L23" s="23"/>
      <c r="M23" s="53"/>
      <c r="N23" s="31"/>
      <c r="O23" s="57"/>
      <c r="P23" s="57"/>
      <c r="Q23" s="21">
        <f>SUM(Q13:Q22)</f>
        <v>74960997.43</v>
      </c>
      <c r="R23" s="12"/>
      <c r="S23" s="22">
        <f>SUM(S13:S22)</f>
        <v>13881</v>
      </c>
      <c r="T23" s="23"/>
      <c r="U23" s="53"/>
      <c r="V23" s="31"/>
      <c r="W23" s="57"/>
      <c r="X23" s="57"/>
      <c r="Y23" s="21">
        <f>SUM(Y13:Y22)</f>
        <v>68030987.22999999</v>
      </c>
      <c r="Z23" s="12"/>
      <c r="AA23" s="22">
        <f>SUM(AA13:AA22)</f>
        <v>12964</v>
      </c>
      <c r="AB23" s="23"/>
      <c r="AC23" s="53"/>
      <c r="AD23" s="31"/>
      <c r="AE23" s="57"/>
      <c r="AF23" s="21">
        <f>SUM(AF13:AF22)</f>
        <v>61075433.66000001</v>
      </c>
      <c r="AG23" s="12"/>
      <c r="AH23" s="22">
        <f>SUM(AH13:AH22)</f>
        <v>11883</v>
      </c>
      <c r="AI23" s="23"/>
      <c r="AJ23" s="53"/>
      <c r="AK23" s="31"/>
      <c r="AL23" s="57"/>
      <c r="AM23" s="21">
        <f>SUM(AM13:AM22)</f>
        <v>55138206.769999996</v>
      </c>
      <c r="AN23" s="12"/>
      <c r="AO23" s="22">
        <f>SUM(AO13:AO22)</f>
        <v>10952</v>
      </c>
      <c r="AP23" s="23"/>
      <c r="AQ23" s="53"/>
      <c r="AR23" s="31"/>
      <c r="AS23" s="57"/>
      <c r="AT23" s="21">
        <f>SUM(AT13:AT22)</f>
        <v>49647364.9</v>
      </c>
      <c r="AU23" s="12"/>
      <c r="AV23" s="22">
        <f>SUM(AV13:AV22)</f>
        <v>9995</v>
      </c>
      <c r="AW23" s="23"/>
      <c r="AX23" s="53"/>
      <c r="AY23" s="31"/>
      <c r="AZ23" s="57"/>
      <c r="BA23" s="21">
        <f>SUM(BA13:BA22)</f>
        <v>45402687.47</v>
      </c>
      <c r="BB23" s="12"/>
      <c r="BC23" s="22">
        <f>SUM(BC13:BC22)</f>
        <v>9296</v>
      </c>
      <c r="BD23" s="23"/>
      <c r="BE23" s="53"/>
      <c r="BF23" s="31"/>
      <c r="BG23" s="57"/>
      <c r="BH23" s="21">
        <f>SUM(BH13:BH22)</f>
        <v>41213463.14999999</v>
      </c>
      <c r="BI23" s="12"/>
      <c r="BJ23" s="22">
        <f>SUM(BJ13:BJ22)</f>
        <v>7968</v>
      </c>
      <c r="BK23" s="23"/>
      <c r="BL23" s="53"/>
      <c r="BM23" s="31"/>
      <c r="BN23" s="57"/>
      <c r="BO23" s="21">
        <f>SUM(BO13:BO22)</f>
        <v>37775661.29000004</v>
      </c>
      <c r="BP23" s="12"/>
      <c r="BQ23" s="22">
        <f>SUM(BQ13:BQ22)</f>
        <v>7318</v>
      </c>
      <c r="BR23" s="23"/>
      <c r="BS23" s="53"/>
      <c r="BT23" s="31"/>
      <c r="BU23" s="57"/>
      <c r="BV23" s="21">
        <f>SUM(BV13:BV22)</f>
        <v>34716301.689999975</v>
      </c>
      <c r="BW23" s="12"/>
      <c r="BX23" s="22">
        <f>SUM(BX13:BX22)</f>
        <v>6713</v>
      </c>
      <c r="BY23" s="23"/>
      <c r="BZ23" s="53"/>
      <c r="CA23" s="31"/>
      <c r="CB23" s="57"/>
      <c r="CC23" s="21">
        <f>SUM(CC13:CC22)</f>
        <v>31999641.990000024</v>
      </c>
      <c r="CD23" s="12"/>
      <c r="CE23" s="22">
        <f>SUM(CE13:CE22)</f>
        <v>6253</v>
      </c>
      <c r="CF23" s="23"/>
      <c r="CG23" s="53"/>
      <c r="CH23" s="31"/>
      <c r="CI23" s="57"/>
      <c r="CJ23" s="21">
        <f>SUM(CJ13:CJ22)</f>
        <v>29689092.230000053</v>
      </c>
      <c r="CK23" s="12"/>
      <c r="CL23" s="22">
        <f>SUM(CL13:CL22)</f>
        <v>5782</v>
      </c>
      <c r="CM23" s="23"/>
      <c r="CN23" s="53"/>
      <c r="CO23" s="31"/>
      <c r="CP23" s="57"/>
      <c r="CQ23" s="21">
        <f>SUM(CQ13:CQ22)</f>
        <v>27546905.229999997</v>
      </c>
      <c r="CR23" s="12"/>
      <c r="CS23" s="22">
        <f>SUM(CS13:CS22)</f>
        <v>5328</v>
      </c>
      <c r="CT23" s="23"/>
      <c r="CU23" s="53"/>
      <c r="CV23" s="31"/>
      <c r="CW23" s="57"/>
      <c r="CX23" s="21">
        <f>SUM(CX13:CX22)</f>
        <v>25938673.09000002</v>
      </c>
      <c r="CY23" s="12"/>
      <c r="CZ23" s="22">
        <f>SUM(CZ13:CZ22)</f>
        <v>5003</v>
      </c>
      <c r="DA23" s="23"/>
      <c r="DB23" s="53"/>
      <c r="DC23" s="31"/>
      <c r="DD23" s="57"/>
    </row>
    <row r="24" spans="1:108" ht="13.5" thickTop="1">
      <c r="A24" s="8"/>
      <c r="B24" s="8"/>
      <c r="C24" s="8"/>
      <c r="D24" s="8"/>
      <c r="E24" s="46"/>
      <c r="F24" s="8"/>
      <c r="G24" s="8"/>
      <c r="H24" s="8"/>
      <c r="I24" s="8"/>
      <c r="J24" s="8"/>
      <c r="K24" s="8"/>
      <c r="L24" s="8"/>
      <c r="M24" s="54"/>
      <c r="N24" s="54"/>
      <c r="O24" s="54"/>
      <c r="P24" s="54"/>
      <c r="Q24" s="8"/>
      <c r="R24" s="8"/>
      <c r="S24" s="8"/>
      <c r="T24" s="8"/>
      <c r="U24" s="54"/>
      <c r="V24" s="54"/>
      <c r="W24" s="54"/>
      <c r="X24" s="54"/>
      <c r="Y24" s="8"/>
      <c r="Z24" s="8"/>
      <c r="AA24" s="8"/>
      <c r="AB24" s="8"/>
      <c r="AC24" s="54"/>
      <c r="AD24" s="54"/>
      <c r="AE24" s="54"/>
      <c r="AF24" s="8"/>
      <c r="AG24" s="8"/>
      <c r="AH24" s="8"/>
      <c r="AI24" s="8"/>
      <c r="AJ24" s="54"/>
      <c r="AK24" s="54"/>
      <c r="AL24" s="54"/>
      <c r="AM24" s="8"/>
      <c r="AN24" s="8"/>
      <c r="AO24" s="8"/>
      <c r="AP24" s="8"/>
      <c r="AQ24" s="54"/>
      <c r="AR24" s="54"/>
      <c r="AS24" s="54"/>
      <c r="AT24" s="8"/>
      <c r="AU24" s="8"/>
      <c r="AV24" s="8"/>
      <c r="AW24" s="8"/>
      <c r="AX24" s="54"/>
      <c r="AY24" s="54"/>
      <c r="AZ24" s="54"/>
      <c r="BA24" s="8"/>
      <c r="BB24" s="8"/>
      <c r="BC24" s="8"/>
      <c r="BD24" s="8"/>
      <c r="BE24" s="54"/>
      <c r="BF24" s="54"/>
      <c r="BG24" s="54"/>
      <c r="BH24" s="8"/>
      <c r="BI24" s="8"/>
      <c r="BJ24" s="8"/>
      <c r="BK24" s="8"/>
      <c r="BL24" s="54"/>
      <c r="BM24" s="54"/>
      <c r="BN24" s="54"/>
      <c r="BO24" s="8"/>
      <c r="BP24" s="8"/>
      <c r="BQ24" s="8"/>
      <c r="BR24" s="8"/>
      <c r="BS24" s="54"/>
      <c r="BT24" s="54"/>
      <c r="BU24" s="54"/>
      <c r="BV24" s="8"/>
      <c r="BW24" s="8"/>
      <c r="BX24" s="8"/>
      <c r="BY24" s="8"/>
      <c r="BZ24" s="54"/>
      <c r="CA24" s="54"/>
      <c r="CB24" s="54"/>
      <c r="CC24" s="8"/>
      <c r="CD24" s="8"/>
      <c r="CE24" s="8"/>
      <c r="CF24" s="8"/>
      <c r="CG24" s="54"/>
      <c r="CH24" s="54"/>
      <c r="CI24" s="54"/>
      <c r="CJ24" s="8"/>
      <c r="CK24" s="8"/>
      <c r="CL24" s="8"/>
      <c r="CM24" s="8"/>
      <c r="CN24" s="54"/>
      <c r="CO24" s="54"/>
      <c r="CP24" s="54"/>
      <c r="CQ24" s="8"/>
      <c r="CR24" s="8"/>
      <c r="CS24" s="8"/>
      <c r="CT24" s="8"/>
      <c r="CU24" s="54"/>
      <c r="CV24" s="54"/>
      <c r="CW24" s="54"/>
      <c r="CX24" s="8"/>
      <c r="CY24" s="8"/>
      <c r="CZ24" s="8"/>
      <c r="DA24" s="8"/>
      <c r="DB24" s="54"/>
      <c r="DC24" s="54"/>
      <c r="DD24" s="54"/>
    </row>
    <row r="25" spans="1:10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92"/>
      <c r="BI25" s="8"/>
      <c r="BJ25" s="92"/>
      <c r="BK25" s="8"/>
      <c r="BL25" s="8"/>
      <c r="BM25" s="8"/>
      <c r="BN25" s="8"/>
      <c r="BO25" s="92"/>
      <c r="BP25" s="8"/>
      <c r="BQ25" s="92"/>
      <c r="BR25" s="8"/>
      <c r="BS25" s="8"/>
      <c r="BT25" s="8"/>
      <c r="BU25" s="8"/>
      <c r="BV25" s="92"/>
      <c r="BW25" s="8"/>
      <c r="BX25" s="92"/>
      <c r="BY25" s="8"/>
      <c r="BZ25" s="8"/>
      <c r="CA25" s="8"/>
      <c r="CB25" s="8"/>
      <c r="CC25" s="92"/>
      <c r="CD25" s="8"/>
      <c r="CE25" s="92"/>
      <c r="CF25" s="8"/>
      <c r="CG25" s="8"/>
      <c r="CH25" s="8"/>
      <c r="CI25" s="8"/>
      <c r="CJ25" s="92"/>
      <c r="CK25" s="8"/>
      <c r="CL25" s="92"/>
      <c r="CM25" s="8"/>
      <c r="CN25" s="8"/>
      <c r="CO25" s="8"/>
      <c r="CP25" s="8"/>
      <c r="CQ25" s="92"/>
      <c r="CR25" s="8"/>
      <c r="CS25" s="92"/>
      <c r="CT25" s="8"/>
      <c r="CU25" s="8"/>
      <c r="CV25" s="8"/>
      <c r="CW25" s="8"/>
      <c r="CX25" s="92"/>
      <c r="CY25" s="8"/>
      <c r="CZ25" s="92"/>
      <c r="DA25" s="8"/>
      <c r="DB25" s="8"/>
      <c r="DC25" s="8"/>
      <c r="DD25" s="8"/>
    </row>
    <row r="26" spans="1:108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</row>
    <row r="27" spans="1:108" ht="12.75">
      <c r="A27" s="19" t="s">
        <v>134</v>
      </c>
      <c r="B27" s="8"/>
      <c r="C27" s="8"/>
      <c r="D27" s="8"/>
      <c r="E27" s="8"/>
      <c r="F27" s="8"/>
      <c r="G27" s="8"/>
      <c r="H27" s="8"/>
      <c r="I27" s="19" t="s">
        <v>134</v>
      </c>
      <c r="J27" s="8"/>
      <c r="K27" s="8"/>
      <c r="L27" s="8"/>
      <c r="M27" s="8"/>
      <c r="N27" s="8"/>
      <c r="O27" s="8"/>
      <c r="P27" s="8"/>
      <c r="Q27" s="19" t="s">
        <v>134</v>
      </c>
      <c r="R27" s="8"/>
      <c r="S27" s="8"/>
      <c r="T27" s="8"/>
      <c r="U27" s="8"/>
      <c r="V27" s="8"/>
      <c r="W27" s="8"/>
      <c r="X27" s="8"/>
      <c r="Y27" s="19" t="s">
        <v>134</v>
      </c>
      <c r="Z27" s="8"/>
      <c r="AA27" s="8"/>
      <c r="AB27" s="8"/>
      <c r="AC27" s="8"/>
      <c r="AD27" s="8"/>
      <c r="AE27" s="8"/>
      <c r="AF27" s="19" t="s">
        <v>134</v>
      </c>
      <c r="AG27" s="8"/>
      <c r="AH27" s="8"/>
      <c r="AI27" s="8"/>
      <c r="AJ27" s="8"/>
      <c r="AK27" s="8"/>
      <c r="AL27" s="8"/>
      <c r="AM27" s="19" t="s">
        <v>134</v>
      </c>
      <c r="AN27" s="8"/>
      <c r="AO27" s="8"/>
      <c r="AP27" s="8"/>
      <c r="AQ27" s="8"/>
      <c r="AR27" s="8"/>
      <c r="AS27" s="8"/>
      <c r="AT27" s="19" t="s">
        <v>134</v>
      </c>
      <c r="AU27" s="8"/>
      <c r="AV27" s="8"/>
      <c r="AW27" s="8"/>
      <c r="AX27" s="8"/>
      <c r="AY27" s="8"/>
      <c r="AZ27" s="8"/>
      <c r="BA27" s="19" t="s">
        <v>134</v>
      </c>
      <c r="BB27" s="8"/>
      <c r="BC27" s="8"/>
      <c r="BD27" s="8"/>
      <c r="BE27" s="8"/>
      <c r="BF27" s="8"/>
      <c r="BG27" s="8"/>
      <c r="BH27" s="19" t="s">
        <v>134</v>
      </c>
      <c r="BI27" s="8"/>
      <c r="BJ27" s="8"/>
      <c r="BK27" s="8"/>
      <c r="BL27" s="8"/>
      <c r="BM27" s="8"/>
      <c r="BN27" s="8"/>
      <c r="BO27" s="19" t="s">
        <v>134</v>
      </c>
      <c r="BP27" s="8"/>
      <c r="BQ27" s="8"/>
      <c r="BR27" s="8"/>
      <c r="BS27" s="8"/>
      <c r="BT27" s="8"/>
      <c r="BU27" s="8"/>
      <c r="BV27" s="19" t="s">
        <v>134</v>
      </c>
      <c r="BW27" s="8"/>
      <c r="BX27" s="8"/>
      <c r="BY27" s="8"/>
      <c r="BZ27" s="8"/>
      <c r="CA27" s="8"/>
      <c r="CB27" s="8"/>
      <c r="CC27" s="19" t="s">
        <v>134</v>
      </c>
      <c r="CD27" s="8"/>
      <c r="CE27" s="8"/>
      <c r="CF27" s="8"/>
      <c r="CG27" s="8"/>
      <c r="CH27" s="8"/>
      <c r="CI27" s="8"/>
      <c r="CJ27" s="19" t="s">
        <v>134</v>
      </c>
      <c r="CK27" s="8"/>
      <c r="CL27" s="8"/>
      <c r="CM27" s="8"/>
      <c r="CN27" s="8"/>
      <c r="CO27" s="8"/>
      <c r="CP27" s="8"/>
      <c r="CQ27" s="19" t="s">
        <v>134</v>
      </c>
      <c r="CR27" s="8"/>
      <c r="CS27" s="8"/>
      <c r="CT27" s="8"/>
      <c r="CU27" s="8"/>
      <c r="CV27" s="8"/>
      <c r="CW27" s="8"/>
      <c r="CX27" s="19" t="s">
        <v>134</v>
      </c>
      <c r="CY27" s="8"/>
      <c r="CZ27" s="8"/>
      <c r="DA27" s="8"/>
      <c r="DB27" s="8"/>
      <c r="DC27" s="8"/>
      <c r="DD27" s="8"/>
    </row>
    <row r="28" spans="1:108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</row>
    <row r="29" spans="1:108" ht="12.75">
      <c r="A29" s="8" t="s">
        <v>130</v>
      </c>
      <c r="B29" s="8"/>
      <c r="C29" s="8"/>
      <c r="D29" s="26"/>
      <c r="E29" s="8"/>
      <c r="F29" s="8"/>
      <c r="G29" s="8"/>
      <c r="H29" s="8"/>
      <c r="I29" s="8" t="s">
        <v>130</v>
      </c>
      <c r="J29" s="8"/>
      <c r="K29" s="8"/>
      <c r="L29" s="9"/>
      <c r="M29" s="8"/>
      <c r="N29" s="10"/>
      <c r="O29" s="8"/>
      <c r="P29" s="8"/>
      <c r="Q29" s="8" t="s">
        <v>130</v>
      </c>
      <c r="R29" s="8"/>
      <c r="S29" s="8"/>
      <c r="T29" s="9"/>
      <c r="U29" s="8"/>
      <c r="V29" s="10"/>
      <c r="W29" s="8"/>
      <c r="X29" s="8"/>
      <c r="Y29" s="8" t="s">
        <v>130</v>
      </c>
      <c r="Z29" s="8"/>
      <c r="AA29" s="8"/>
      <c r="AB29" s="9"/>
      <c r="AC29" s="8"/>
      <c r="AD29" s="10"/>
      <c r="AE29" s="8"/>
      <c r="AF29" s="8" t="s">
        <v>130</v>
      </c>
      <c r="AG29" s="8"/>
      <c r="AH29" s="8"/>
      <c r="AI29" s="9"/>
      <c r="AJ29" s="8"/>
      <c r="AK29" s="10"/>
      <c r="AL29" s="8"/>
      <c r="AM29" s="8" t="s">
        <v>130</v>
      </c>
      <c r="AN29" s="8"/>
      <c r="AO29" s="8"/>
      <c r="AP29" s="9"/>
      <c r="AQ29" s="8"/>
      <c r="AR29" s="10"/>
      <c r="AS29" s="8"/>
      <c r="AT29" s="8" t="s">
        <v>130</v>
      </c>
      <c r="AU29" s="8"/>
      <c r="AV29" s="8"/>
      <c r="AW29" s="9"/>
      <c r="AX29" s="8"/>
      <c r="AY29" s="10"/>
      <c r="AZ29" s="8"/>
      <c r="BA29" s="8" t="s">
        <v>130</v>
      </c>
      <c r="BB29" s="8"/>
      <c r="BC29" s="8"/>
      <c r="BD29" s="9"/>
      <c r="BE29" s="8"/>
      <c r="BF29" s="10"/>
      <c r="BG29" s="8"/>
      <c r="BH29" s="8" t="s">
        <v>130</v>
      </c>
      <c r="BI29" s="8"/>
      <c r="BJ29" s="8"/>
      <c r="BK29" s="9"/>
      <c r="BL29" s="8"/>
      <c r="BM29" s="10"/>
      <c r="BN29" s="8"/>
      <c r="BO29" s="8" t="s">
        <v>130</v>
      </c>
      <c r="BP29" s="8"/>
      <c r="BQ29" s="8"/>
      <c r="BR29" s="9"/>
      <c r="BS29" s="8"/>
      <c r="BT29" s="10"/>
      <c r="BU29" s="8"/>
      <c r="BV29" s="8" t="s">
        <v>130</v>
      </c>
      <c r="BW29" s="8"/>
      <c r="BX29" s="8"/>
      <c r="BY29" s="9"/>
      <c r="BZ29" s="8"/>
      <c r="CA29" s="10"/>
      <c r="CB29" s="8"/>
      <c r="CC29" s="8" t="s">
        <v>130</v>
      </c>
      <c r="CD29" s="8"/>
      <c r="CE29" s="8"/>
      <c r="CF29" s="9"/>
      <c r="CG29" s="8"/>
      <c r="CH29" s="10"/>
      <c r="CI29" s="8"/>
      <c r="CJ29" s="8" t="s">
        <v>130</v>
      </c>
      <c r="CK29" s="8"/>
      <c r="CL29" s="8"/>
      <c r="CM29" s="9"/>
      <c r="CN29" s="8"/>
      <c r="CO29" s="10"/>
      <c r="CP29" s="8"/>
      <c r="CQ29" s="8" t="s">
        <v>130</v>
      </c>
      <c r="CR29" s="8"/>
      <c r="CS29" s="8"/>
      <c r="CT29" s="9"/>
      <c r="CU29" s="8"/>
      <c r="CV29" s="10"/>
      <c r="CW29" s="8"/>
      <c r="CX29" s="8" t="s">
        <v>130</v>
      </c>
      <c r="CY29" s="8"/>
      <c r="CZ29" s="8"/>
      <c r="DA29" s="9"/>
      <c r="DB29" s="8"/>
      <c r="DC29" s="10"/>
      <c r="DD29" s="8"/>
    </row>
    <row r="30" spans="1:108" ht="12.75">
      <c r="A30" s="8"/>
      <c r="B30" s="8"/>
      <c r="C30" s="8"/>
      <c r="D30" s="8"/>
      <c r="E30" s="8"/>
      <c r="F30" s="8"/>
      <c r="G30" s="8"/>
      <c r="H30" s="8"/>
      <c r="I30" s="19"/>
      <c r="J30" s="8"/>
      <c r="K30" s="8"/>
      <c r="L30" s="9"/>
      <c r="M30" s="8"/>
      <c r="N30" s="10"/>
      <c r="O30" s="8"/>
      <c r="P30" s="8"/>
      <c r="Q30" s="19"/>
      <c r="R30" s="8"/>
      <c r="S30" s="8"/>
      <c r="T30" s="9"/>
      <c r="U30" s="8"/>
      <c r="V30" s="10"/>
      <c r="W30" s="8"/>
      <c r="X30" s="8"/>
      <c r="Y30" s="19"/>
      <c r="Z30" s="8"/>
      <c r="AA30" s="8"/>
      <c r="AB30" s="9"/>
      <c r="AC30" s="8"/>
      <c r="AD30" s="10"/>
      <c r="AE30" s="8"/>
      <c r="AF30" s="19"/>
      <c r="AG30" s="8"/>
      <c r="AH30" s="8"/>
      <c r="AI30" s="9"/>
      <c r="AJ30" s="8"/>
      <c r="AK30" s="10"/>
      <c r="AL30" s="8"/>
      <c r="AM30" s="19"/>
      <c r="AN30" s="8"/>
      <c r="AO30" s="8"/>
      <c r="AP30" s="9"/>
      <c r="AQ30" s="8"/>
      <c r="AR30" s="10"/>
      <c r="AS30" s="8"/>
      <c r="AT30" s="19"/>
      <c r="AU30" s="8"/>
      <c r="AV30" s="8"/>
      <c r="AW30" s="9"/>
      <c r="AX30" s="8"/>
      <c r="AY30" s="10"/>
      <c r="AZ30" s="8"/>
      <c r="BA30" s="19"/>
      <c r="BB30" s="8"/>
      <c r="BC30" s="8"/>
      <c r="BD30" s="9"/>
      <c r="BE30" s="8"/>
      <c r="BF30" s="10"/>
      <c r="BG30" s="8"/>
      <c r="BH30" s="19"/>
      <c r="BI30" s="8"/>
      <c r="BJ30" s="8"/>
      <c r="BK30" s="9"/>
      <c r="BL30" s="8"/>
      <c r="BM30" s="10"/>
      <c r="BN30" s="8"/>
      <c r="BO30" s="19"/>
      <c r="BP30" s="8"/>
      <c r="BQ30" s="8"/>
      <c r="BR30" s="9"/>
      <c r="BS30" s="8"/>
      <c r="BT30" s="10"/>
      <c r="BU30" s="8"/>
      <c r="BV30" s="19"/>
      <c r="BW30" s="8"/>
      <c r="BX30" s="8"/>
      <c r="BY30" s="9"/>
      <c r="BZ30" s="8"/>
      <c r="CA30" s="10"/>
      <c r="CB30" s="8"/>
      <c r="CC30" s="19"/>
      <c r="CD30" s="8"/>
      <c r="CE30" s="8"/>
      <c r="CF30" s="9"/>
      <c r="CG30" s="8"/>
      <c r="CH30" s="10"/>
      <c r="CI30" s="8"/>
      <c r="CJ30" s="19"/>
      <c r="CK30" s="8"/>
      <c r="CL30" s="8"/>
      <c r="CM30" s="9"/>
      <c r="CN30" s="8"/>
      <c r="CO30" s="10"/>
      <c r="CP30" s="8"/>
      <c r="CQ30" s="19"/>
      <c r="CR30" s="8"/>
      <c r="CS30" s="8"/>
      <c r="CT30" s="9"/>
      <c r="CU30" s="8"/>
      <c r="CV30" s="10"/>
      <c r="CW30" s="8"/>
      <c r="CX30" s="19"/>
      <c r="CY30" s="8"/>
      <c r="CZ30" s="8"/>
      <c r="DA30" s="9"/>
      <c r="DB30" s="8"/>
      <c r="DC30" s="10"/>
      <c r="DD30" s="8"/>
    </row>
    <row r="31" spans="1:108" s="45" customFormat="1" ht="12.75">
      <c r="A31" s="26"/>
      <c r="B31" s="26"/>
      <c r="C31" s="26" t="s">
        <v>99</v>
      </c>
      <c r="D31" s="26" t="s">
        <v>100</v>
      </c>
      <c r="E31" s="26" t="s">
        <v>101</v>
      </c>
      <c r="F31" s="26" t="s">
        <v>100</v>
      </c>
      <c r="G31" s="26"/>
      <c r="H31" s="26"/>
      <c r="I31" s="26" t="s">
        <v>99</v>
      </c>
      <c r="J31" s="44" t="s">
        <v>100</v>
      </c>
      <c r="K31" s="26" t="s">
        <v>101</v>
      </c>
      <c r="L31" s="26" t="s">
        <v>100</v>
      </c>
      <c r="M31" s="72"/>
      <c r="N31" s="64"/>
      <c r="O31" s="64"/>
      <c r="P31" s="64"/>
      <c r="Q31" s="26" t="s">
        <v>99</v>
      </c>
      <c r="R31" s="44" t="s">
        <v>100</v>
      </c>
      <c r="S31" s="26" t="s">
        <v>101</v>
      </c>
      <c r="T31" s="26" t="s">
        <v>100</v>
      </c>
      <c r="U31" s="72"/>
      <c r="V31" s="64"/>
      <c r="W31" s="64"/>
      <c r="X31" s="64"/>
      <c r="Y31" s="26" t="s">
        <v>99</v>
      </c>
      <c r="Z31" s="44" t="s">
        <v>100</v>
      </c>
      <c r="AA31" s="26" t="s">
        <v>101</v>
      </c>
      <c r="AB31" s="26" t="s">
        <v>100</v>
      </c>
      <c r="AC31" s="72"/>
      <c r="AD31" s="64"/>
      <c r="AE31" s="64"/>
      <c r="AF31" s="26" t="s">
        <v>99</v>
      </c>
      <c r="AG31" s="44" t="s">
        <v>100</v>
      </c>
      <c r="AH31" s="26" t="s">
        <v>101</v>
      </c>
      <c r="AI31" s="26" t="s">
        <v>100</v>
      </c>
      <c r="AJ31" s="72"/>
      <c r="AK31" s="64"/>
      <c r="AL31" s="64"/>
      <c r="AM31" s="26" t="s">
        <v>99</v>
      </c>
      <c r="AN31" s="44" t="s">
        <v>100</v>
      </c>
      <c r="AO31" s="26" t="s">
        <v>101</v>
      </c>
      <c r="AP31" s="26" t="s">
        <v>100</v>
      </c>
      <c r="AQ31" s="72"/>
      <c r="AR31" s="64"/>
      <c r="AS31" s="64"/>
      <c r="AT31" s="26" t="s">
        <v>99</v>
      </c>
      <c r="AU31" s="44" t="s">
        <v>100</v>
      </c>
      <c r="AV31" s="26" t="s">
        <v>101</v>
      </c>
      <c r="AW31" s="26" t="s">
        <v>100</v>
      </c>
      <c r="AX31" s="72"/>
      <c r="AY31" s="64"/>
      <c r="AZ31" s="64"/>
      <c r="BA31" s="26" t="s">
        <v>99</v>
      </c>
      <c r="BB31" s="44" t="s">
        <v>100</v>
      </c>
      <c r="BC31" s="26" t="s">
        <v>101</v>
      </c>
      <c r="BD31" s="26" t="s">
        <v>100</v>
      </c>
      <c r="BE31" s="72"/>
      <c r="BF31" s="64"/>
      <c r="BG31" s="64"/>
      <c r="BH31" s="44" t="s">
        <v>99</v>
      </c>
      <c r="BI31" s="44" t="s">
        <v>100</v>
      </c>
      <c r="BJ31" s="44" t="s">
        <v>101</v>
      </c>
      <c r="BK31" s="44" t="s">
        <v>100</v>
      </c>
      <c r="BL31" s="72"/>
      <c r="BM31" s="64"/>
      <c r="BN31" s="64"/>
      <c r="BO31" s="44" t="s">
        <v>99</v>
      </c>
      <c r="BP31" s="44" t="s">
        <v>100</v>
      </c>
      <c r="BQ31" s="44" t="s">
        <v>101</v>
      </c>
      <c r="BR31" s="44" t="s">
        <v>100</v>
      </c>
      <c r="BS31" s="72"/>
      <c r="BT31" s="64"/>
      <c r="BU31" s="64"/>
      <c r="BV31" s="44" t="s">
        <v>99</v>
      </c>
      <c r="BW31" s="44" t="s">
        <v>100</v>
      </c>
      <c r="BX31" s="44" t="s">
        <v>101</v>
      </c>
      <c r="BY31" s="44" t="s">
        <v>100</v>
      </c>
      <c r="BZ31" s="72"/>
      <c r="CA31" s="64"/>
      <c r="CB31" s="64"/>
      <c r="CC31" s="44" t="s">
        <v>99</v>
      </c>
      <c r="CD31" s="44" t="s">
        <v>100</v>
      </c>
      <c r="CE31" s="44" t="s">
        <v>101</v>
      </c>
      <c r="CF31" s="44" t="s">
        <v>100</v>
      </c>
      <c r="CG31" s="72"/>
      <c r="CH31" s="64"/>
      <c r="CI31" s="64"/>
      <c r="CJ31" s="44" t="s">
        <v>99</v>
      </c>
      <c r="CK31" s="44" t="s">
        <v>100</v>
      </c>
      <c r="CL31" s="44" t="s">
        <v>101</v>
      </c>
      <c r="CM31" s="44" t="s">
        <v>100</v>
      </c>
      <c r="CN31" s="72"/>
      <c r="CO31" s="64"/>
      <c r="CP31" s="64"/>
      <c r="CQ31" s="44" t="s">
        <v>99</v>
      </c>
      <c r="CR31" s="44" t="s">
        <v>100</v>
      </c>
      <c r="CS31" s="44" t="s">
        <v>101</v>
      </c>
      <c r="CT31" s="44" t="s">
        <v>100</v>
      </c>
      <c r="CU31" s="72"/>
      <c r="CV31" s="64"/>
      <c r="CW31" s="64"/>
      <c r="CX31" s="44" t="s">
        <v>99</v>
      </c>
      <c r="CY31" s="44" t="s">
        <v>100</v>
      </c>
      <c r="CZ31" s="44" t="s">
        <v>101</v>
      </c>
      <c r="DA31" s="44" t="s">
        <v>100</v>
      </c>
      <c r="DB31" s="72"/>
      <c r="DC31" s="64"/>
      <c r="DD31" s="64"/>
    </row>
    <row r="32" spans="1:108" ht="12.75">
      <c r="A32" s="8"/>
      <c r="B32" s="8"/>
      <c r="C32" s="8"/>
      <c r="D32" s="8"/>
      <c r="E32" s="8"/>
      <c r="F32" s="8"/>
      <c r="G32" s="8"/>
      <c r="H32" s="8"/>
      <c r="I32" s="9"/>
      <c r="J32" s="8"/>
      <c r="K32" s="10"/>
      <c r="L32" s="8"/>
      <c r="M32" s="54"/>
      <c r="N32" s="55"/>
      <c r="O32" s="54"/>
      <c r="P32" s="54"/>
      <c r="Q32" s="9"/>
      <c r="R32" s="8"/>
      <c r="S32" s="10"/>
      <c r="T32" s="8"/>
      <c r="U32" s="54"/>
      <c r="V32" s="55"/>
      <c r="W32" s="54"/>
      <c r="X32" s="54"/>
      <c r="Y32" s="9"/>
      <c r="Z32" s="8"/>
      <c r="AA32" s="10"/>
      <c r="AB32" s="8"/>
      <c r="AC32" s="54"/>
      <c r="AD32" s="55"/>
      <c r="AE32" s="54"/>
      <c r="AF32" s="9"/>
      <c r="AG32" s="8"/>
      <c r="AH32" s="10"/>
      <c r="AI32" s="8"/>
      <c r="AJ32" s="54"/>
      <c r="AK32" s="55"/>
      <c r="AL32" s="54"/>
      <c r="AM32" s="9"/>
      <c r="AN32" s="8"/>
      <c r="AO32" s="10"/>
      <c r="AP32" s="8"/>
      <c r="AQ32" s="54"/>
      <c r="AR32" s="55"/>
      <c r="AS32" s="54"/>
      <c r="AT32" s="9"/>
      <c r="AU32" s="8"/>
      <c r="AV32" s="10"/>
      <c r="AW32" s="8"/>
      <c r="AX32" s="54"/>
      <c r="AY32" s="55"/>
      <c r="AZ32" s="54"/>
      <c r="BA32" s="9"/>
      <c r="BB32" s="8"/>
      <c r="BC32" s="10"/>
      <c r="BD32" s="8"/>
      <c r="BE32" s="54"/>
      <c r="BF32" s="55"/>
      <c r="BG32" s="54"/>
      <c r="BH32" s="9"/>
      <c r="BI32" s="8"/>
      <c r="BJ32" s="10"/>
      <c r="BK32" s="8"/>
      <c r="BL32" s="54"/>
      <c r="BM32" s="55"/>
      <c r="BN32" s="54"/>
      <c r="BO32" s="9"/>
      <c r="BP32" s="8"/>
      <c r="BQ32" s="10"/>
      <c r="BR32" s="8"/>
      <c r="BS32" s="54"/>
      <c r="BT32" s="55"/>
      <c r="BU32" s="54"/>
      <c r="BV32" s="9"/>
      <c r="BW32" s="8"/>
      <c r="BX32" s="10"/>
      <c r="BY32" s="8"/>
      <c r="BZ32" s="54"/>
      <c r="CA32" s="55"/>
      <c r="CB32" s="54"/>
      <c r="CC32" s="9"/>
      <c r="CD32" s="8"/>
      <c r="CE32" s="10"/>
      <c r="CF32" s="8"/>
      <c r="CG32" s="54"/>
      <c r="CH32" s="55"/>
      <c r="CI32" s="54"/>
      <c r="CJ32" s="9"/>
      <c r="CK32" s="8"/>
      <c r="CL32" s="10"/>
      <c r="CM32" s="8"/>
      <c r="CN32" s="54"/>
      <c r="CO32" s="55"/>
      <c r="CP32" s="54"/>
      <c r="CQ32" s="9"/>
      <c r="CR32" s="8"/>
      <c r="CS32" s="10"/>
      <c r="CT32" s="8"/>
      <c r="CU32" s="54"/>
      <c r="CV32" s="55"/>
      <c r="CW32" s="54"/>
      <c r="CX32" s="9"/>
      <c r="CY32" s="8"/>
      <c r="CZ32" s="10"/>
      <c r="DA32" s="8"/>
      <c r="DB32" s="54"/>
      <c r="DC32" s="55"/>
      <c r="DD32" s="54"/>
    </row>
    <row r="33" spans="1:108" ht="12.75">
      <c r="A33" s="8" t="s">
        <v>43</v>
      </c>
      <c r="B33" s="8"/>
      <c r="C33" s="43">
        <v>47714508.47</v>
      </c>
      <c r="D33" s="33">
        <f>+C33/C43</f>
        <v>0.9303785450244095</v>
      </c>
      <c r="E33" s="46">
        <v>64510</v>
      </c>
      <c r="F33" s="33">
        <f>+E33/E43</f>
        <v>0.9471304194623482</v>
      </c>
      <c r="G33" s="33"/>
      <c r="H33" s="33"/>
      <c r="I33" s="9">
        <v>32028942.23</v>
      </c>
      <c r="J33" s="14">
        <f>+I33/I43</f>
        <v>0.8921597740086166</v>
      </c>
      <c r="K33" s="10">
        <v>48923</v>
      </c>
      <c r="L33" s="14">
        <f>+K33/K43</f>
        <v>0.925537751376303</v>
      </c>
      <c r="M33" s="56"/>
      <c r="N33" s="55"/>
      <c r="O33" s="56"/>
      <c r="P33" s="56"/>
      <c r="Q33" s="9">
        <v>23113700.730000243</v>
      </c>
      <c r="R33" s="14">
        <f>+Q33/$Q$43</f>
        <v>0.8560063303069195</v>
      </c>
      <c r="S33" s="10">
        <v>37111</v>
      </c>
      <c r="T33" s="14">
        <f>+S33/$S$43</f>
        <v>0.9033396621391364</v>
      </c>
      <c r="U33" s="56"/>
      <c r="V33" s="55"/>
      <c r="W33" s="56"/>
      <c r="X33" s="56"/>
      <c r="Y33" s="9">
        <v>16169036.110000014</v>
      </c>
      <c r="Z33" s="14">
        <v>0.8077290414763967</v>
      </c>
      <c r="AA33" s="10">
        <v>26067</v>
      </c>
      <c r="AB33" s="14">
        <v>0.8675986020968547</v>
      </c>
      <c r="AC33" s="56"/>
      <c r="AD33" s="63"/>
      <c r="AE33" s="56"/>
      <c r="AF33" s="9">
        <v>11538430.730000123</v>
      </c>
      <c r="AG33" s="14">
        <v>0.7516226786502161</v>
      </c>
      <c r="AH33" s="10">
        <v>20266</v>
      </c>
      <c r="AI33" s="14">
        <v>0.8366774007100982</v>
      </c>
      <c r="AJ33" s="56"/>
      <c r="AK33" s="63"/>
      <c r="AL33" s="56"/>
      <c r="AM33" s="9">
        <v>8385646.970000057</v>
      </c>
      <c r="AN33" s="14">
        <v>0.7008853509154152</v>
      </c>
      <c r="AO33" s="10">
        <v>16348</v>
      </c>
      <c r="AP33" s="14">
        <v>0.8134952229299363</v>
      </c>
      <c r="AQ33" s="56"/>
      <c r="AR33" s="63"/>
      <c r="AS33" s="56"/>
      <c r="AT33" s="9">
        <v>5883672.300000018</v>
      </c>
      <c r="AU33" s="14">
        <f>+AT33/$AT$43</f>
        <v>0.6273519725386315</v>
      </c>
      <c r="AV33" s="10">
        <v>12364</v>
      </c>
      <c r="AW33" s="14">
        <f>+AV33/$AV$43</f>
        <v>0.7699109533594869</v>
      </c>
      <c r="AX33" s="56"/>
      <c r="AY33" s="63"/>
      <c r="AZ33" s="56"/>
      <c r="BA33" s="9">
        <v>8692856.73</v>
      </c>
      <c r="BB33" s="14">
        <f>+BA33/$BA$43</f>
        <v>0.7199871074050092</v>
      </c>
      <c r="BC33" s="10">
        <v>11957</v>
      </c>
      <c r="BD33" s="14">
        <f>+BC33/$BC$43</f>
        <v>0.7696813646604441</v>
      </c>
      <c r="BE33" s="56"/>
      <c r="BF33" s="63"/>
      <c r="BG33" s="56"/>
      <c r="BH33" s="9">
        <v>3085223.8099999945</v>
      </c>
      <c r="BI33" s="14">
        <v>0.4781922830119595</v>
      </c>
      <c r="BJ33" s="10">
        <v>6416</v>
      </c>
      <c r="BK33" s="14">
        <v>0.6434015242679503</v>
      </c>
      <c r="BL33" s="56"/>
      <c r="BM33" s="63"/>
      <c r="BN33" s="56"/>
      <c r="BO33" s="9">
        <v>2252203.54</v>
      </c>
      <c r="BP33" s="14">
        <v>0.4046467444773352</v>
      </c>
      <c r="BQ33" s="10">
        <v>5033</v>
      </c>
      <c r="BR33" s="14">
        <v>0.5913523675243803</v>
      </c>
      <c r="BS33" s="56"/>
      <c r="BT33" s="63"/>
      <c r="BU33" s="56"/>
      <c r="BV33" s="9">
        <v>1592914.81</v>
      </c>
      <c r="BW33" s="14">
        <v>0.3276321778225386</v>
      </c>
      <c r="BX33" s="10">
        <v>3921</v>
      </c>
      <c r="BY33" s="14">
        <v>0.536241794310722</v>
      </c>
      <c r="BZ33" s="56"/>
      <c r="CA33" s="63"/>
      <c r="CB33" s="56"/>
      <c r="CC33" s="9">
        <v>1072529.16</v>
      </c>
      <c r="CD33" s="14">
        <v>0.24977977707953133</v>
      </c>
      <c r="CE33" s="10">
        <v>2780</v>
      </c>
      <c r="CF33" s="14">
        <v>0.45618641286511324</v>
      </c>
      <c r="CG33" s="56"/>
      <c r="CH33" s="63"/>
      <c r="CI33" s="56"/>
      <c r="CJ33" s="9">
        <v>750402.3699999987</v>
      </c>
      <c r="CK33" s="14">
        <v>0.18978260279300402</v>
      </c>
      <c r="CL33" s="10">
        <v>1993</v>
      </c>
      <c r="CM33" s="14">
        <v>0.3767485822306238</v>
      </c>
      <c r="CN33" s="56"/>
      <c r="CO33" s="63"/>
      <c r="CP33" s="56"/>
      <c r="CQ33" s="9">
        <v>521518.77</v>
      </c>
      <c r="CR33" s="14">
        <v>0.14075933020003814</v>
      </c>
      <c r="CS33" s="10">
        <v>1589</v>
      </c>
      <c r="CT33" s="14">
        <v>0.32756132756132755</v>
      </c>
      <c r="CU33" s="56"/>
      <c r="CV33" s="63"/>
      <c r="CW33" s="56"/>
      <c r="CX33" s="9">
        <v>353221.79</v>
      </c>
      <c r="CY33" s="14">
        <v>0.10120979127819862</v>
      </c>
      <c r="CZ33" s="10">
        <v>1184</v>
      </c>
      <c r="DA33" s="14">
        <v>0.26933575978161967</v>
      </c>
      <c r="DB33" s="56"/>
      <c r="DC33" s="63"/>
      <c r="DD33" s="56"/>
    </row>
    <row r="34" spans="1:108" ht="12.75">
      <c r="A34" s="8" t="s">
        <v>44</v>
      </c>
      <c r="B34" s="8"/>
      <c r="C34" s="43">
        <v>365817.85</v>
      </c>
      <c r="D34" s="33">
        <f>+C34/$C$43</f>
        <v>0.007133031229713885</v>
      </c>
      <c r="E34" s="46">
        <v>486</v>
      </c>
      <c r="F34" s="33">
        <f>+E34/$E$43</f>
        <v>0.0071354113138846886</v>
      </c>
      <c r="G34" s="33"/>
      <c r="H34" s="33"/>
      <c r="I34" s="9">
        <v>289930.48</v>
      </c>
      <c r="J34" s="14">
        <f>+I34/$I$43</f>
        <v>0.00807595547981385</v>
      </c>
      <c r="K34" s="10">
        <v>445</v>
      </c>
      <c r="L34" s="14">
        <f>+K34/$K$43</f>
        <v>0.008418623129457613</v>
      </c>
      <c r="M34" s="56"/>
      <c r="N34" s="55"/>
      <c r="O34" s="56"/>
      <c r="P34" s="56"/>
      <c r="Q34" s="9">
        <v>272266.14999999944</v>
      </c>
      <c r="R34" s="14">
        <f aca="true" t="shared" si="15" ref="R34:R41">+Q34/$Q$43</f>
        <v>0.010083264062763973</v>
      </c>
      <c r="S34" s="10">
        <v>422</v>
      </c>
      <c r="T34" s="14">
        <f aca="true" t="shared" si="16" ref="T34:T41">+S34/$S$43</f>
        <v>0.010272138649530207</v>
      </c>
      <c r="U34" s="56"/>
      <c r="V34" s="55"/>
      <c r="W34" s="56"/>
      <c r="X34" s="56"/>
      <c r="Y34" s="9">
        <v>206404.72</v>
      </c>
      <c r="Z34" s="14">
        <v>0.010311009605494905</v>
      </c>
      <c r="AA34" s="10">
        <v>374</v>
      </c>
      <c r="AB34" s="14">
        <v>0.012447994674654685</v>
      </c>
      <c r="AC34" s="56"/>
      <c r="AD34" s="63"/>
      <c r="AE34" s="56"/>
      <c r="AF34" s="9">
        <v>163744.65</v>
      </c>
      <c r="AG34" s="14">
        <v>0.010666458492284144</v>
      </c>
      <c r="AH34" s="10">
        <v>323</v>
      </c>
      <c r="AI34" s="14">
        <v>0.0133349847246305</v>
      </c>
      <c r="AJ34" s="56"/>
      <c r="AK34" s="63"/>
      <c r="AL34" s="56"/>
      <c r="AM34" s="9">
        <v>122338.41</v>
      </c>
      <c r="AN34" s="14">
        <v>0.010225233631947588</v>
      </c>
      <c r="AO34" s="10">
        <v>281</v>
      </c>
      <c r="AP34" s="14">
        <v>0.013982882165605096</v>
      </c>
      <c r="AQ34" s="56"/>
      <c r="AR34" s="63"/>
      <c r="AS34" s="56"/>
      <c r="AT34" s="9">
        <v>106223.73</v>
      </c>
      <c r="AU34" s="14">
        <f aca="true" t="shared" si="17" ref="AU34:AU41">+AT34/$AT$43</f>
        <v>0.011326202947419556</v>
      </c>
      <c r="AV34" s="10">
        <v>248</v>
      </c>
      <c r="AW34" s="14">
        <f aca="true" t="shared" si="18" ref="AW34:AW41">+AV34/$AV$43</f>
        <v>0.015443053739336198</v>
      </c>
      <c r="AX34" s="56"/>
      <c r="AY34" s="63"/>
      <c r="AZ34" s="56"/>
      <c r="BA34" s="9">
        <v>128300.71</v>
      </c>
      <c r="BB34" s="14">
        <f aca="true" t="shared" si="19" ref="BB34:BB41">+BA34/$BA$43</f>
        <v>0.010626524736351997</v>
      </c>
      <c r="BC34" s="10">
        <v>248</v>
      </c>
      <c r="BD34" s="14">
        <f aca="true" t="shared" si="20" ref="BD34:BD41">+BC34/$BC$43</f>
        <v>0.015963952365626005</v>
      </c>
      <c r="BE34" s="56"/>
      <c r="BF34" s="63"/>
      <c r="BG34" s="56"/>
      <c r="BH34" s="9">
        <v>80613.54</v>
      </c>
      <c r="BI34" s="14">
        <v>0.012494643859978505</v>
      </c>
      <c r="BJ34" s="10">
        <v>231</v>
      </c>
      <c r="BK34" s="14">
        <v>0.02316486161251504</v>
      </c>
      <c r="BL34" s="56"/>
      <c r="BM34" s="63"/>
      <c r="BN34" s="56"/>
      <c r="BO34" s="9">
        <v>63124.3</v>
      </c>
      <c r="BP34" s="14">
        <v>0.0113413561602033</v>
      </c>
      <c r="BQ34" s="10">
        <v>192</v>
      </c>
      <c r="BR34" s="14">
        <v>0.022559041240747268</v>
      </c>
      <c r="BS34" s="56"/>
      <c r="BT34" s="63"/>
      <c r="BU34" s="56"/>
      <c r="BV34" s="9">
        <v>40336.58</v>
      </c>
      <c r="BW34" s="14">
        <v>0.008296464737692442</v>
      </c>
      <c r="BX34" s="10">
        <v>145</v>
      </c>
      <c r="BY34" s="14">
        <v>0.019830415754923413</v>
      </c>
      <c r="BZ34" s="56"/>
      <c r="CA34" s="63"/>
      <c r="CB34" s="56"/>
      <c r="CC34" s="9">
        <v>29738.62</v>
      </c>
      <c r="CD34" s="14">
        <v>0.006925784539278059</v>
      </c>
      <c r="CE34" s="10">
        <v>121</v>
      </c>
      <c r="CF34" s="14">
        <v>0.019855595667870037</v>
      </c>
      <c r="CG34" s="56"/>
      <c r="CH34" s="63"/>
      <c r="CI34" s="56"/>
      <c r="CJ34" s="9">
        <v>22630.09</v>
      </c>
      <c r="CK34" s="14">
        <v>0.00572332598261908</v>
      </c>
      <c r="CL34" s="10">
        <v>119</v>
      </c>
      <c r="CM34" s="14">
        <v>0.022495274102079396</v>
      </c>
      <c r="CN34" s="56"/>
      <c r="CO34" s="63"/>
      <c r="CP34" s="56"/>
      <c r="CQ34" s="9">
        <v>20522.84</v>
      </c>
      <c r="CR34" s="14">
        <v>0.005539170166785273</v>
      </c>
      <c r="CS34" s="10">
        <v>117</v>
      </c>
      <c r="CT34" s="14">
        <v>0.02411873840445269</v>
      </c>
      <c r="CU34" s="56"/>
      <c r="CV34" s="63"/>
      <c r="CW34" s="56"/>
      <c r="CX34" s="9">
        <v>20192.7</v>
      </c>
      <c r="CY34" s="14">
        <v>0.005785880175578295</v>
      </c>
      <c r="CZ34" s="10">
        <v>112</v>
      </c>
      <c r="DA34" s="14">
        <v>0.025477707006369428</v>
      </c>
      <c r="DB34" s="56"/>
      <c r="DC34" s="63"/>
      <c r="DD34" s="56"/>
    </row>
    <row r="35" spans="1:108" ht="12.75">
      <c r="A35" s="8" t="s">
        <v>45</v>
      </c>
      <c r="B35" s="8"/>
      <c r="C35" s="43">
        <v>332539.04</v>
      </c>
      <c r="D35" s="33">
        <f aca="true" t="shared" si="21" ref="D35:D41">+C35/$C$43</f>
        <v>0.00648413235553999</v>
      </c>
      <c r="E35" s="46">
        <v>381</v>
      </c>
      <c r="F35" s="33">
        <f aca="true" t="shared" si="22" ref="F35:F41">+E35/$E$43</f>
        <v>0.005593810104094786</v>
      </c>
      <c r="G35" s="33"/>
      <c r="H35" s="33"/>
      <c r="I35" s="9">
        <v>303305.46</v>
      </c>
      <c r="J35" s="14">
        <f aca="true" t="shared" si="23" ref="J35:J41">+I35/$I$43</f>
        <v>0.00844851287020413</v>
      </c>
      <c r="K35" s="10">
        <v>361</v>
      </c>
      <c r="L35" s="14">
        <f aca="true" t="shared" si="24" ref="L35:L41">+K35/$K$43</f>
        <v>0.006829489774683592</v>
      </c>
      <c r="M35" s="56"/>
      <c r="N35" s="55"/>
      <c r="O35" s="56"/>
      <c r="P35" s="56"/>
      <c r="Q35" s="9">
        <v>189979.54</v>
      </c>
      <c r="R35" s="14">
        <f t="shared" si="15"/>
        <v>0.007035813553548374</v>
      </c>
      <c r="S35" s="10">
        <v>293</v>
      </c>
      <c r="T35" s="14">
        <f t="shared" si="16"/>
        <v>0.00713207730879704</v>
      </c>
      <c r="U35" s="56"/>
      <c r="V35" s="55"/>
      <c r="W35" s="56"/>
      <c r="X35" s="56"/>
      <c r="Y35" s="9">
        <v>187177.95</v>
      </c>
      <c r="Z35" s="14">
        <v>0.009350530551756981</v>
      </c>
      <c r="AA35" s="10">
        <v>279</v>
      </c>
      <c r="AB35" s="14">
        <v>0.009286070893659511</v>
      </c>
      <c r="AC35" s="56"/>
      <c r="AD35" s="63"/>
      <c r="AE35" s="56"/>
      <c r="AF35" s="9">
        <v>135509.83</v>
      </c>
      <c r="AG35" s="14">
        <v>0.008827219557961013</v>
      </c>
      <c r="AH35" s="10">
        <v>233</v>
      </c>
      <c r="AI35" s="14">
        <v>0.009619354306002807</v>
      </c>
      <c r="AJ35" s="56"/>
      <c r="AK35" s="63"/>
      <c r="AL35" s="56"/>
      <c r="AM35" s="9">
        <v>124728.71</v>
      </c>
      <c r="AN35" s="14">
        <v>0.010425018605043478</v>
      </c>
      <c r="AO35" s="10">
        <v>225</v>
      </c>
      <c r="AP35" s="14">
        <v>0.011196257961783439</v>
      </c>
      <c r="AQ35" s="56"/>
      <c r="AR35" s="63"/>
      <c r="AS35" s="56"/>
      <c r="AT35" s="9">
        <v>77441.83</v>
      </c>
      <c r="AU35" s="14">
        <f t="shared" si="17"/>
        <v>0.00825730637777043</v>
      </c>
      <c r="AV35" s="10">
        <v>190</v>
      </c>
      <c r="AW35" s="14">
        <f t="shared" si="18"/>
        <v>0.011831371816426926</v>
      </c>
      <c r="AX35" s="56"/>
      <c r="AY35" s="63"/>
      <c r="AZ35" s="56"/>
      <c r="BA35" s="9">
        <v>76136.24</v>
      </c>
      <c r="BB35" s="14">
        <f t="shared" si="19"/>
        <v>0.0063059950150925305</v>
      </c>
      <c r="BC35" s="10">
        <v>181</v>
      </c>
      <c r="BD35" s="14">
        <f t="shared" si="20"/>
        <v>0.01165111039588027</v>
      </c>
      <c r="BE35" s="56"/>
      <c r="BF35" s="63"/>
      <c r="BG35" s="56"/>
      <c r="BH35" s="9">
        <v>75126.74</v>
      </c>
      <c r="BI35" s="14">
        <v>0.011644220817758425</v>
      </c>
      <c r="BJ35" s="10">
        <v>182</v>
      </c>
      <c r="BK35" s="14">
        <v>0.018251103088648215</v>
      </c>
      <c r="BL35" s="56"/>
      <c r="BM35" s="63"/>
      <c r="BN35" s="56"/>
      <c r="BO35" s="9">
        <v>55664.68</v>
      </c>
      <c r="BP35" s="14">
        <v>0.010001108312072297</v>
      </c>
      <c r="BQ35" s="10">
        <v>170</v>
      </c>
      <c r="BR35" s="14">
        <v>0.01997415109857831</v>
      </c>
      <c r="BS35" s="56"/>
      <c r="BT35" s="63"/>
      <c r="BU35" s="56"/>
      <c r="BV35" s="9">
        <v>41966.38</v>
      </c>
      <c r="BW35" s="14">
        <v>0.00863168349519472</v>
      </c>
      <c r="BX35" s="10">
        <v>141</v>
      </c>
      <c r="BY35" s="14">
        <v>0.019283369803063458</v>
      </c>
      <c r="BZ35" s="56"/>
      <c r="CA35" s="63"/>
      <c r="CB35" s="56"/>
      <c r="CC35" s="9">
        <v>32594.02</v>
      </c>
      <c r="CD35" s="14">
        <v>0.0075907745480092844</v>
      </c>
      <c r="CE35" s="10">
        <v>131</v>
      </c>
      <c r="CF35" s="14">
        <v>0.021496553987528717</v>
      </c>
      <c r="CG35" s="56"/>
      <c r="CH35" s="63"/>
      <c r="CI35" s="56"/>
      <c r="CJ35" s="9">
        <v>34916.55</v>
      </c>
      <c r="CK35" s="14">
        <v>0.008830667391884806</v>
      </c>
      <c r="CL35" s="10">
        <v>134</v>
      </c>
      <c r="CM35" s="14">
        <v>0.025330812854442344</v>
      </c>
      <c r="CN35" s="56"/>
      <c r="CO35" s="63"/>
      <c r="CP35" s="56"/>
      <c r="CQ35" s="9">
        <v>25018.04</v>
      </c>
      <c r="CR35" s="14">
        <v>0.006752436836200087</v>
      </c>
      <c r="CS35" s="10">
        <v>111</v>
      </c>
      <c r="CT35" s="14">
        <v>0.022881880024737167</v>
      </c>
      <c r="CU35" s="56"/>
      <c r="CV35" s="63"/>
      <c r="CW35" s="56"/>
      <c r="CX35" s="9">
        <v>26555</v>
      </c>
      <c r="CY35" s="14">
        <v>0.007608890740836127</v>
      </c>
      <c r="CZ35" s="10">
        <v>112</v>
      </c>
      <c r="DA35" s="14">
        <v>0.025477707006369428</v>
      </c>
      <c r="DB35" s="56"/>
      <c r="DC35" s="63"/>
      <c r="DD35" s="56"/>
    </row>
    <row r="36" spans="1:108" ht="12.75">
      <c r="A36" s="8" t="s">
        <v>46</v>
      </c>
      <c r="B36" s="8"/>
      <c r="C36" s="43">
        <v>310638.38</v>
      </c>
      <c r="D36" s="33">
        <f t="shared" si="21"/>
        <v>0.006057094441093373</v>
      </c>
      <c r="E36" s="46">
        <v>333</v>
      </c>
      <c r="F36" s="33">
        <f t="shared" si="22"/>
        <v>0.004889078122476545</v>
      </c>
      <c r="G36" s="33"/>
      <c r="H36" s="33"/>
      <c r="I36" s="9">
        <v>222708.93</v>
      </c>
      <c r="J36" s="14">
        <f t="shared" si="23"/>
        <v>0.00620351266150761</v>
      </c>
      <c r="K36" s="10">
        <v>284</v>
      </c>
      <c r="L36" s="14">
        <f t="shared" si="24"/>
        <v>0.005372784199474073</v>
      </c>
      <c r="M36" s="56"/>
      <c r="N36" s="55"/>
      <c r="O36" s="56"/>
      <c r="P36" s="56"/>
      <c r="Q36" s="9">
        <v>168318.46</v>
      </c>
      <c r="R36" s="14">
        <f t="shared" si="15"/>
        <v>0.006233604430142265</v>
      </c>
      <c r="S36" s="10">
        <v>243</v>
      </c>
      <c r="T36" s="14">
        <f t="shared" si="16"/>
        <v>0.005914999269753176</v>
      </c>
      <c r="U36" s="56"/>
      <c r="V36" s="55"/>
      <c r="W36" s="56"/>
      <c r="X36" s="56"/>
      <c r="Y36" s="9">
        <v>145179.61</v>
      </c>
      <c r="Z36" s="14">
        <v>0.007252490898619004</v>
      </c>
      <c r="AA36" s="10">
        <v>232</v>
      </c>
      <c r="AB36" s="14">
        <v>0.007721750707272425</v>
      </c>
      <c r="AC36" s="56"/>
      <c r="AD36" s="63"/>
      <c r="AE36" s="56"/>
      <c r="AF36" s="9">
        <v>123411.33</v>
      </c>
      <c r="AG36" s="14">
        <v>0.008039113515602379</v>
      </c>
      <c r="AH36" s="10">
        <v>202</v>
      </c>
      <c r="AI36" s="14">
        <v>0.008339526050697713</v>
      </c>
      <c r="AJ36" s="56"/>
      <c r="AK36" s="63"/>
      <c r="AL36" s="56"/>
      <c r="AM36" s="9">
        <v>100438.84</v>
      </c>
      <c r="AN36" s="14">
        <v>0.008394833680785965</v>
      </c>
      <c r="AO36" s="10">
        <v>201</v>
      </c>
      <c r="AP36" s="14">
        <v>0.010001990445859872</v>
      </c>
      <c r="AQ36" s="56"/>
      <c r="AR36" s="63"/>
      <c r="AS36" s="56"/>
      <c r="AT36" s="9">
        <v>92128.13</v>
      </c>
      <c r="AU36" s="14">
        <f t="shared" si="17"/>
        <v>0.009823246628095738</v>
      </c>
      <c r="AV36" s="10">
        <v>176</v>
      </c>
      <c r="AW36" s="14">
        <f t="shared" si="18"/>
        <v>0.010959586524690205</v>
      </c>
      <c r="AX36" s="56"/>
      <c r="AY36" s="63"/>
      <c r="AZ36" s="56"/>
      <c r="BA36" s="9">
        <v>79471.62</v>
      </c>
      <c r="BB36" s="14">
        <f t="shared" si="19"/>
        <v>0.006582248342725196</v>
      </c>
      <c r="BC36" s="10">
        <v>168</v>
      </c>
      <c r="BD36" s="14">
        <f t="shared" si="20"/>
        <v>0.010814290312198263</v>
      </c>
      <c r="BE36" s="56"/>
      <c r="BF36" s="63"/>
      <c r="BG36" s="56"/>
      <c r="BH36" s="9">
        <v>54663.68</v>
      </c>
      <c r="BI36" s="14">
        <v>0.008472561975020939</v>
      </c>
      <c r="BJ36" s="10">
        <v>151</v>
      </c>
      <c r="BK36" s="14">
        <v>0.015142398716405936</v>
      </c>
      <c r="BL36" s="56"/>
      <c r="BM36" s="63"/>
      <c r="BN36" s="56"/>
      <c r="BO36" s="9">
        <v>53460.15</v>
      </c>
      <c r="BP36" s="14">
        <v>0.009605026931433572</v>
      </c>
      <c r="BQ36" s="10">
        <v>134</v>
      </c>
      <c r="BR36" s="14">
        <v>0.015744330865938197</v>
      </c>
      <c r="BS36" s="56"/>
      <c r="BT36" s="63"/>
      <c r="BU36" s="56"/>
      <c r="BV36" s="9">
        <v>44246.64</v>
      </c>
      <c r="BW36" s="14">
        <v>0.009100689461559999</v>
      </c>
      <c r="BX36" s="10">
        <v>139</v>
      </c>
      <c r="BY36" s="14">
        <v>0.01900984682713348</v>
      </c>
      <c r="BZ36" s="56"/>
      <c r="CA36" s="63"/>
      <c r="CB36" s="56"/>
      <c r="CC36" s="9">
        <v>41757.21</v>
      </c>
      <c r="CD36" s="14">
        <v>0.009724776718670435</v>
      </c>
      <c r="CE36" s="10">
        <v>125</v>
      </c>
      <c r="CF36" s="14">
        <v>0.02051197899573351</v>
      </c>
      <c r="CG36" s="56"/>
      <c r="CH36" s="63"/>
      <c r="CI36" s="56"/>
      <c r="CJ36" s="9">
        <v>35299.97</v>
      </c>
      <c r="CK36" s="14">
        <v>0.008927637295595118</v>
      </c>
      <c r="CL36" s="10">
        <v>119</v>
      </c>
      <c r="CM36" s="14">
        <v>0.022495274102079396</v>
      </c>
      <c r="CN36" s="56"/>
      <c r="CO36" s="63"/>
      <c r="CP36" s="56"/>
      <c r="CQ36" s="9">
        <v>38214.11</v>
      </c>
      <c r="CR36" s="14">
        <v>0.010314091912340137</v>
      </c>
      <c r="CS36" s="10">
        <v>125</v>
      </c>
      <c r="CT36" s="14">
        <v>0.025767882910740055</v>
      </c>
      <c r="CU36" s="56"/>
      <c r="CV36" s="63"/>
      <c r="CW36" s="56"/>
      <c r="CX36" s="9">
        <v>31715.13</v>
      </c>
      <c r="CY36" s="14">
        <v>0.009087439615944798</v>
      </c>
      <c r="CZ36" s="10">
        <v>108</v>
      </c>
      <c r="DA36" s="14">
        <v>0.02456778889899909</v>
      </c>
      <c r="DB36" s="56"/>
      <c r="DC36" s="63"/>
      <c r="DD36" s="56"/>
    </row>
    <row r="37" spans="1:108" ht="12.75">
      <c r="A37" s="8" t="s">
        <v>47</v>
      </c>
      <c r="B37" s="8"/>
      <c r="C37" s="43">
        <v>252659.42</v>
      </c>
      <c r="D37" s="33">
        <f t="shared" si="21"/>
        <v>0.004926570787459926</v>
      </c>
      <c r="E37" s="46">
        <v>287</v>
      </c>
      <c r="F37" s="33">
        <f t="shared" si="22"/>
        <v>0.004213709973425732</v>
      </c>
      <c r="G37" s="33"/>
      <c r="H37" s="33"/>
      <c r="I37" s="9">
        <v>233170.61</v>
      </c>
      <c r="J37" s="14">
        <f t="shared" si="23"/>
        <v>0.00649492066360542</v>
      </c>
      <c r="K37" s="10">
        <v>285</v>
      </c>
      <c r="L37" s="14">
        <f t="shared" si="24"/>
        <v>0.0053917024536975725</v>
      </c>
      <c r="M37" s="56"/>
      <c r="N37" s="55"/>
      <c r="O37" s="56"/>
      <c r="P37" s="56"/>
      <c r="Q37" s="9">
        <v>169595.79</v>
      </c>
      <c r="R37" s="14">
        <f t="shared" si="15"/>
        <v>0.006280909817482155</v>
      </c>
      <c r="S37" s="10">
        <v>235</v>
      </c>
      <c r="T37" s="14">
        <f t="shared" si="16"/>
        <v>0.005720266783506158</v>
      </c>
      <c r="U37" s="56"/>
      <c r="V37" s="55"/>
      <c r="W37" s="56"/>
      <c r="X37" s="56"/>
      <c r="Y37" s="9">
        <v>143706.87</v>
      </c>
      <c r="Z37" s="14">
        <v>0.007178919730835644</v>
      </c>
      <c r="AA37" s="10">
        <v>210</v>
      </c>
      <c r="AB37" s="14">
        <v>0.006989515726410384</v>
      </c>
      <c r="AC37" s="56"/>
      <c r="AD37" s="63"/>
      <c r="AE37" s="56"/>
      <c r="AF37" s="9">
        <v>132057.02</v>
      </c>
      <c r="AG37" s="14">
        <v>0.008602300731319991</v>
      </c>
      <c r="AH37" s="10">
        <v>211</v>
      </c>
      <c r="AI37" s="14">
        <v>0.008711089092560482</v>
      </c>
      <c r="AJ37" s="56"/>
      <c r="AK37" s="63"/>
      <c r="AL37" s="56"/>
      <c r="AM37" s="9">
        <v>104883.05</v>
      </c>
      <c r="AN37" s="14">
        <v>0.008766287630199215</v>
      </c>
      <c r="AO37" s="10">
        <v>194</v>
      </c>
      <c r="AP37" s="14">
        <v>0.009653662420382165</v>
      </c>
      <c r="AQ37" s="56"/>
      <c r="AR37" s="63"/>
      <c r="AS37" s="56"/>
      <c r="AT37" s="9">
        <v>102490.32</v>
      </c>
      <c r="AU37" s="14">
        <f t="shared" si="17"/>
        <v>0.010928124671069012</v>
      </c>
      <c r="AV37" s="10">
        <v>192</v>
      </c>
      <c r="AW37" s="14">
        <f t="shared" si="18"/>
        <v>0.011955912572389314</v>
      </c>
      <c r="AX37" s="56"/>
      <c r="AY37" s="63"/>
      <c r="AZ37" s="56"/>
      <c r="BA37" s="9">
        <v>81735.68</v>
      </c>
      <c r="BB37" s="14">
        <f t="shared" si="19"/>
        <v>0.006769769437461033</v>
      </c>
      <c r="BC37" s="10">
        <v>175</v>
      </c>
      <c r="BD37" s="14">
        <f t="shared" si="20"/>
        <v>0.01126488574187319</v>
      </c>
      <c r="BE37" s="56"/>
      <c r="BF37" s="63"/>
      <c r="BG37" s="56"/>
      <c r="BH37" s="9">
        <v>74151.69</v>
      </c>
      <c r="BI37" s="14">
        <v>0.011493093569213426</v>
      </c>
      <c r="BJ37" s="10">
        <v>149</v>
      </c>
      <c r="BK37" s="14">
        <v>0.014941837144003208</v>
      </c>
      <c r="BL37" s="56"/>
      <c r="BM37" s="63"/>
      <c r="BN37" s="56"/>
      <c r="BO37" s="9">
        <v>57193.47</v>
      </c>
      <c r="BP37" s="14">
        <v>0.010275781486810982</v>
      </c>
      <c r="BQ37" s="10">
        <v>143</v>
      </c>
      <c r="BR37" s="14">
        <v>0.016801785924098225</v>
      </c>
      <c r="BS37" s="56"/>
      <c r="BT37" s="63"/>
      <c r="BU37" s="56"/>
      <c r="BV37" s="9">
        <v>61134.34</v>
      </c>
      <c r="BW37" s="14">
        <v>0.01257416707296703</v>
      </c>
      <c r="BX37" s="10">
        <v>146</v>
      </c>
      <c r="BY37" s="14">
        <v>0.019967177242888403</v>
      </c>
      <c r="BZ37" s="56"/>
      <c r="CA37" s="63"/>
      <c r="CB37" s="56"/>
      <c r="CC37" s="9">
        <v>47768.12</v>
      </c>
      <c r="CD37" s="14">
        <v>0.011124648923399238</v>
      </c>
      <c r="CE37" s="10">
        <v>127</v>
      </c>
      <c r="CF37" s="14">
        <v>0.020840170659665244</v>
      </c>
      <c r="CG37" s="56"/>
      <c r="CH37" s="63"/>
      <c r="CI37" s="56"/>
      <c r="CJ37" s="9">
        <v>39048.73</v>
      </c>
      <c r="CK37" s="14">
        <v>0.009875727891372824</v>
      </c>
      <c r="CL37" s="10">
        <v>113</v>
      </c>
      <c r="CM37" s="14">
        <v>0.021361058601134214</v>
      </c>
      <c r="CN37" s="56"/>
      <c r="CO37" s="63"/>
      <c r="CP37" s="56"/>
      <c r="CQ37" s="9">
        <v>36061.1</v>
      </c>
      <c r="CR37" s="14">
        <v>0.009732988675127825</v>
      </c>
      <c r="CS37" s="10">
        <v>108</v>
      </c>
      <c r="CT37" s="14">
        <v>0.022263450834879406</v>
      </c>
      <c r="CU37" s="56"/>
      <c r="CV37" s="63"/>
      <c r="CW37" s="56"/>
      <c r="CX37" s="9">
        <v>38168.02</v>
      </c>
      <c r="CY37" s="14">
        <v>0.010936407229299498</v>
      </c>
      <c r="CZ37" s="10">
        <v>111</v>
      </c>
      <c r="DA37" s="14">
        <v>0.025250227479526842</v>
      </c>
      <c r="DB37" s="56"/>
      <c r="DC37" s="63"/>
      <c r="DD37" s="56"/>
    </row>
    <row r="38" spans="1:108" ht="12.75">
      <c r="A38" s="8" t="s">
        <v>48</v>
      </c>
      <c r="B38" s="8"/>
      <c r="C38" s="43">
        <v>285031.67</v>
      </c>
      <c r="D38" s="33">
        <f t="shared" si="21"/>
        <v>0.005557792774648646</v>
      </c>
      <c r="E38" s="46">
        <v>307</v>
      </c>
      <c r="F38" s="33">
        <f t="shared" si="22"/>
        <v>0.004507348299099999</v>
      </c>
      <c r="G38" s="33"/>
      <c r="H38" s="33"/>
      <c r="I38" s="9">
        <v>266456.49</v>
      </c>
      <c r="J38" s="14">
        <f t="shared" si="23"/>
        <v>0.0074220921875736015</v>
      </c>
      <c r="K38" s="10">
        <v>305</v>
      </c>
      <c r="L38" s="14">
        <f t="shared" si="24"/>
        <v>0.005770067538167578</v>
      </c>
      <c r="M38" s="56"/>
      <c r="N38" s="55"/>
      <c r="O38" s="56"/>
      <c r="P38" s="56"/>
      <c r="Q38" s="9">
        <v>260743.22</v>
      </c>
      <c r="R38" s="14">
        <f t="shared" si="15"/>
        <v>0.00965651712427478</v>
      </c>
      <c r="S38" s="10">
        <v>276</v>
      </c>
      <c r="T38" s="14">
        <f t="shared" si="16"/>
        <v>0.006718270775522127</v>
      </c>
      <c r="U38" s="56"/>
      <c r="V38" s="55"/>
      <c r="W38" s="56"/>
      <c r="X38" s="56"/>
      <c r="Y38" s="9">
        <v>178313.82</v>
      </c>
      <c r="Z38" s="14">
        <v>0.008907720282813723</v>
      </c>
      <c r="AA38" s="10">
        <v>249</v>
      </c>
      <c r="AB38" s="14">
        <v>0.008287568647029456</v>
      </c>
      <c r="AC38" s="56"/>
      <c r="AD38" s="63"/>
      <c r="AE38" s="56"/>
      <c r="AF38" s="9">
        <v>160175.66</v>
      </c>
      <c r="AG38" s="14">
        <v>0.010433971606792753</v>
      </c>
      <c r="AH38" s="10">
        <v>231</v>
      </c>
      <c r="AI38" s="14">
        <v>0.009536784741144414</v>
      </c>
      <c r="AJ38" s="56"/>
      <c r="AK38" s="63"/>
      <c r="AL38" s="56"/>
      <c r="AM38" s="9">
        <v>131802.53</v>
      </c>
      <c r="AN38" s="14">
        <v>0.011016259427695527</v>
      </c>
      <c r="AO38" s="10">
        <v>196</v>
      </c>
      <c r="AP38" s="14">
        <v>0.009753184713375796</v>
      </c>
      <c r="AQ38" s="56"/>
      <c r="AR38" s="63"/>
      <c r="AS38" s="56"/>
      <c r="AT38" s="9">
        <v>127273.92</v>
      </c>
      <c r="AU38" s="14">
        <f t="shared" si="17"/>
        <v>0.013570698824393013</v>
      </c>
      <c r="AV38" s="10">
        <v>203</v>
      </c>
      <c r="AW38" s="14">
        <f t="shared" si="18"/>
        <v>0.012640886730182451</v>
      </c>
      <c r="AX38" s="56"/>
      <c r="AY38" s="63"/>
      <c r="AZ38" s="56"/>
      <c r="BA38" s="9">
        <v>98992.35</v>
      </c>
      <c r="BB38" s="14">
        <f t="shared" si="19"/>
        <v>0.008199055609159253</v>
      </c>
      <c r="BC38" s="10">
        <v>181</v>
      </c>
      <c r="BD38" s="14">
        <f t="shared" si="20"/>
        <v>0.01165111039588027</v>
      </c>
      <c r="BE38" s="56"/>
      <c r="BF38" s="63"/>
      <c r="BG38" s="56"/>
      <c r="BH38" s="9">
        <v>88938.46</v>
      </c>
      <c r="BI38" s="14">
        <v>0.013784959488876732</v>
      </c>
      <c r="BJ38" s="10">
        <v>159</v>
      </c>
      <c r="BK38" s="14">
        <v>0.015944645006016847</v>
      </c>
      <c r="BL38" s="56"/>
      <c r="BM38" s="63"/>
      <c r="BN38" s="56"/>
      <c r="BO38" s="9">
        <v>96925.11</v>
      </c>
      <c r="BP38" s="14">
        <v>0.01741424765703354</v>
      </c>
      <c r="BQ38" s="10">
        <v>159</v>
      </c>
      <c r="BR38" s="14">
        <v>0.018681706027493833</v>
      </c>
      <c r="BS38" s="56"/>
      <c r="BT38" s="63"/>
      <c r="BU38" s="56"/>
      <c r="BV38" s="9">
        <v>80011.25</v>
      </c>
      <c r="BW38" s="14">
        <v>0.016456787220029415</v>
      </c>
      <c r="BX38" s="10">
        <v>145</v>
      </c>
      <c r="BY38" s="14">
        <v>0.019830415754923413</v>
      </c>
      <c r="BZ38" s="56"/>
      <c r="CA38" s="63"/>
      <c r="CB38" s="56"/>
      <c r="CC38" s="9">
        <v>74203.66</v>
      </c>
      <c r="CD38" s="14">
        <v>0.017281183901130783</v>
      </c>
      <c r="CE38" s="10">
        <v>137</v>
      </c>
      <c r="CF38" s="14">
        <v>0.022481128979323924</v>
      </c>
      <c r="CG38" s="56"/>
      <c r="CH38" s="63"/>
      <c r="CI38" s="56"/>
      <c r="CJ38" s="9">
        <v>72646.92</v>
      </c>
      <c r="CK38" s="14">
        <v>0.01837297177312375</v>
      </c>
      <c r="CL38" s="10">
        <v>140</v>
      </c>
      <c r="CM38" s="14">
        <v>0.026465028355387523</v>
      </c>
      <c r="CN38" s="56"/>
      <c r="CO38" s="63"/>
      <c r="CP38" s="56"/>
      <c r="CQ38" s="9">
        <v>73559.35</v>
      </c>
      <c r="CR38" s="14">
        <v>0.01985386803230529</v>
      </c>
      <c r="CS38" s="10">
        <v>136</v>
      </c>
      <c r="CT38" s="14">
        <v>0.028035456606885178</v>
      </c>
      <c r="CU38" s="56"/>
      <c r="CV38" s="63"/>
      <c r="CW38" s="56"/>
      <c r="CX38" s="9">
        <v>67998.43</v>
      </c>
      <c r="CY38" s="14">
        <v>0.019483811877928588</v>
      </c>
      <c r="CZ38" s="10">
        <v>128</v>
      </c>
      <c r="DA38" s="14">
        <v>0.029117379435850774</v>
      </c>
      <c r="DB38" s="56"/>
      <c r="DC38" s="63"/>
      <c r="DD38" s="56"/>
    </row>
    <row r="39" spans="1:108" ht="12.75">
      <c r="A39" s="8" t="s">
        <v>77</v>
      </c>
      <c r="B39" s="8"/>
      <c r="C39" s="43">
        <v>603443.37</v>
      </c>
      <c r="D39" s="33">
        <f t="shared" si="21"/>
        <v>0.011766458098132147</v>
      </c>
      <c r="E39" s="46">
        <v>626</v>
      </c>
      <c r="F39" s="33">
        <f t="shared" si="22"/>
        <v>0.009190879593604557</v>
      </c>
      <c r="G39" s="33"/>
      <c r="H39" s="33"/>
      <c r="I39" s="9">
        <f>268837.39+235473.39+252763.89</f>
        <v>757074.67</v>
      </c>
      <c r="J39" s="14">
        <f t="shared" si="23"/>
        <v>0.02108816337562978</v>
      </c>
      <c r="K39" s="10">
        <f>261+242+242</f>
        <v>745</v>
      </c>
      <c r="L39" s="14">
        <f t="shared" si="24"/>
        <v>0.01409409939650769</v>
      </c>
      <c r="M39" s="56"/>
      <c r="N39" s="55"/>
      <c r="O39" s="56"/>
      <c r="P39" s="56"/>
      <c r="Q39" s="9">
        <v>609943.89</v>
      </c>
      <c r="R39" s="14">
        <f t="shared" si="15"/>
        <v>0.022589019260526783</v>
      </c>
      <c r="S39" s="10">
        <v>657</v>
      </c>
      <c r="T39" s="14">
        <f t="shared" si="16"/>
        <v>0.015992405433036365</v>
      </c>
      <c r="U39" s="56"/>
      <c r="V39" s="55"/>
      <c r="W39" s="56"/>
      <c r="X39" s="56"/>
      <c r="Y39" s="9">
        <v>534607.46</v>
      </c>
      <c r="Z39" s="14">
        <v>0.02670647577840869</v>
      </c>
      <c r="AA39" s="10">
        <v>599</v>
      </c>
      <c r="AB39" s="14">
        <v>0.019936761524380096</v>
      </c>
      <c r="AC39" s="56"/>
      <c r="AD39" s="63"/>
      <c r="AE39" s="56"/>
      <c r="AF39" s="9">
        <v>434357.05</v>
      </c>
      <c r="AG39" s="14">
        <v>0.028294368363522036</v>
      </c>
      <c r="AH39" s="10">
        <v>550</v>
      </c>
      <c r="AI39" s="14">
        <v>0.022706630336058128</v>
      </c>
      <c r="AJ39" s="56"/>
      <c r="AK39" s="63"/>
      <c r="AL39" s="56"/>
      <c r="AM39" s="9">
        <v>359565.17</v>
      </c>
      <c r="AN39" s="14">
        <v>0.030053013351742514</v>
      </c>
      <c r="AO39" s="10">
        <v>460</v>
      </c>
      <c r="AP39" s="14">
        <v>0.02289012738853503</v>
      </c>
      <c r="AQ39" s="56"/>
      <c r="AR39" s="63"/>
      <c r="AS39" s="56"/>
      <c r="AT39" s="9">
        <v>302406.5</v>
      </c>
      <c r="AU39" s="14">
        <f t="shared" si="17"/>
        <v>0.03224437130591095</v>
      </c>
      <c r="AV39" s="10">
        <v>444</v>
      </c>
      <c r="AW39" s="14">
        <f t="shared" si="18"/>
        <v>0.02764804782365029</v>
      </c>
      <c r="AX39" s="56"/>
      <c r="AY39" s="63"/>
      <c r="AZ39" s="56"/>
      <c r="BA39" s="9">
        <f>81652.38+85762.12+104795.31</f>
        <v>272209.81</v>
      </c>
      <c r="BB39" s="14">
        <f t="shared" si="19"/>
        <v>0.022545816616624154</v>
      </c>
      <c r="BC39" s="10">
        <f>124+133+151</f>
        <v>408</v>
      </c>
      <c r="BD39" s="14">
        <f t="shared" si="20"/>
        <v>0.026263276472481493</v>
      </c>
      <c r="BE39" s="56"/>
      <c r="BF39" s="63"/>
      <c r="BG39" s="56"/>
      <c r="BH39" s="9">
        <v>241303.6</v>
      </c>
      <c r="BI39" s="14">
        <v>0.037400696509925106</v>
      </c>
      <c r="BJ39" s="10">
        <v>372</v>
      </c>
      <c r="BK39" s="14">
        <v>0.03730445246690734</v>
      </c>
      <c r="BL39" s="56"/>
      <c r="BM39" s="63"/>
      <c r="BN39" s="56"/>
      <c r="BO39" s="9">
        <v>210203.58</v>
      </c>
      <c r="BP39" s="14">
        <v>0.03776665510635026</v>
      </c>
      <c r="BQ39" s="10">
        <v>336</v>
      </c>
      <c r="BR39" s="14">
        <v>0.03947832217130772</v>
      </c>
      <c r="BS39" s="56"/>
      <c r="BT39" s="63"/>
      <c r="BU39" s="56"/>
      <c r="BV39" s="9">
        <v>198658.33</v>
      </c>
      <c r="BW39" s="14">
        <v>0.04086022735923244</v>
      </c>
      <c r="BX39" s="10">
        <v>326</v>
      </c>
      <c r="BY39" s="14">
        <v>0.04458424507658643</v>
      </c>
      <c r="BZ39" s="56"/>
      <c r="CA39" s="63"/>
      <c r="CB39" s="56"/>
      <c r="CC39" s="9">
        <v>191720.85</v>
      </c>
      <c r="CD39" s="14">
        <v>0.044649593652538296</v>
      </c>
      <c r="CE39" s="10">
        <v>322</v>
      </c>
      <c r="CF39" s="14">
        <v>0.052838857893009517</v>
      </c>
      <c r="CG39" s="56"/>
      <c r="CH39" s="63"/>
      <c r="CI39" s="56"/>
      <c r="CJ39" s="9">
        <v>172767.65</v>
      </c>
      <c r="CK39" s="14">
        <v>0.04369428403515148</v>
      </c>
      <c r="CL39" s="10">
        <v>292</v>
      </c>
      <c r="CM39" s="14">
        <v>0.0551984877126654</v>
      </c>
      <c r="CN39" s="56"/>
      <c r="CO39" s="63"/>
      <c r="CP39" s="56"/>
      <c r="CQ39" s="9">
        <v>154313.33</v>
      </c>
      <c r="CR39" s="14">
        <v>0.0416495862109382</v>
      </c>
      <c r="CS39" s="10">
        <v>275</v>
      </c>
      <c r="CT39" s="14">
        <v>0.05668934240362812</v>
      </c>
      <c r="CU39" s="56"/>
      <c r="CV39" s="63"/>
      <c r="CW39" s="56"/>
      <c r="CX39" s="9">
        <v>146500.45</v>
      </c>
      <c r="CY39" s="14">
        <v>0.04197725164877902</v>
      </c>
      <c r="CZ39" s="10">
        <v>265</v>
      </c>
      <c r="DA39" s="14">
        <v>0.0602820746132848</v>
      </c>
      <c r="DB39" s="56"/>
      <c r="DC39" s="63"/>
      <c r="DD39" s="56"/>
    </row>
    <row r="40" spans="1:108" ht="12.75">
      <c r="A40" s="8" t="s">
        <v>78</v>
      </c>
      <c r="B40" s="8"/>
      <c r="C40" s="43">
        <v>619390.01</v>
      </c>
      <c r="D40" s="33">
        <f t="shared" si="21"/>
        <v>0.012077399407116945</v>
      </c>
      <c r="E40" s="46">
        <v>602</v>
      </c>
      <c r="F40" s="33">
        <f t="shared" si="22"/>
        <v>0.008838513602795436</v>
      </c>
      <c r="G40" s="33"/>
      <c r="H40" s="33"/>
      <c r="I40" s="9">
        <f>255319.76+205743.39+212188.47</f>
        <v>673251.62</v>
      </c>
      <c r="J40" s="14">
        <f t="shared" si="23"/>
        <v>0.018753289098243663</v>
      </c>
      <c r="K40" s="10">
        <f>239+193+241</f>
        <v>673</v>
      </c>
      <c r="L40" s="14">
        <f t="shared" si="24"/>
        <v>0.012731985092415672</v>
      </c>
      <c r="M40" s="56"/>
      <c r="N40" s="55"/>
      <c r="O40" s="56"/>
      <c r="P40" s="56"/>
      <c r="Q40" s="9">
        <v>804961.03</v>
      </c>
      <c r="R40" s="14">
        <f t="shared" si="15"/>
        <v>0.029811398242948997</v>
      </c>
      <c r="S40" s="10">
        <v>774</v>
      </c>
      <c r="T40" s="14">
        <f t="shared" si="16"/>
        <v>0.01884036804439901</v>
      </c>
      <c r="U40" s="56"/>
      <c r="V40" s="55"/>
      <c r="W40" s="56"/>
      <c r="X40" s="56"/>
      <c r="Y40" s="9">
        <v>680010.18</v>
      </c>
      <c r="Z40" s="14">
        <v>0.033970112203898783</v>
      </c>
      <c r="AA40" s="10">
        <v>690</v>
      </c>
      <c r="AB40" s="14">
        <v>0.022965551672491265</v>
      </c>
      <c r="AC40" s="56"/>
      <c r="AD40" s="63"/>
      <c r="AE40" s="56"/>
      <c r="AF40" s="9">
        <v>648116.3699999993</v>
      </c>
      <c r="AG40" s="14">
        <v>0.0422188227754303</v>
      </c>
      <c r="AH40" s="10">
        <v>676</v>
      </c>
      <c r="AI40" s="14">
        <v>0.0279085129221369</v>
      </c>
      <c r="AJ40" s="56"/>
      <c r="AK40" s="63"/>
      <c r="AL40" s="56"/>
      <c r="AM40" s="9">
        <v>523091.72</v>
      </c>
      <c r="AN40" s="14">
        <v>0.04372081546537436</v>
      </c>
      <c r="AO40" s="10">
        <v>601</v>
      </c>
      <c r="AP40" s="14">
        <v>0.029906449044585986</v>
      </c>
      <c r="AQ40" s="56"/>
      <c r="AR40" s="63"/>
      <c r="AS40" s="56"/>
      <c r="AT40" s="9">
        <v>486917.64</v>
      </c>
      <c r="AU40" s="14">
        <f t="shared" si="17"/>
        <v>0.05191804137661683</v>
      </c>
      <c r="AV40" s="10">
        <v>562</v>
      </c>
      <c r="AW40" s="14">
        <f t="shared" si="18"/>
        <v>0.03499595242543122</v>
      </c>
      <c r="AX40" s="56"/>
      <c r="AY40" s="63"/>
      <c r="AZ40" s="56"/>
      <c r="BA40" s="9">
        <f>148902.48+102479.32+182996.82</f>
        <v>434378.62</v>
      </c>
      <c r="BB40" s="14">
        <f t="shared" si="19"/>
        <v>0.035977471600682834</v>
      </c>
      <c r="BC40" s="10">
        <f>195+121+227</f>
        <v>543</v>
      </c>
      <c r="BD40" s="14">
        <f t="shared" si="20"/>
        <v>0.03495333118764081</v>
      </c>
      <c r="BE40" s="56"/>
      <c r="BF40" s="63"/>
      <c r="BG40" s="56"/>
      <c r="BH40" s="9">
        <v>314047.43</v>
      </c>
      <c r="BI40" s="14">
        <v>0.04867557972260647</v>
      </c>
      <c r="BJ40" s="10">
        <v>397</v>
      </c>
      <c r="BK40" s="14">
        <v>0.03981147212194144</v>
      </c>
      <c r="BL40" s="56"/>
      <c r="BM40" s="63"/>
      <c r="BN40" s="56"/>
      <c r="BO40" s="9">
        <v>290484.26</v>
      </c>
      <c r="BP40" s="14">
        <v>0.05219044728564267</v>
      </c>
      <c r="BQ40" s="10">
        <v>354</v>
      </c>
      <c r="BR40" s="14">
        <v>0.04159323228762778</v>
      </c>
      <c r="BS40" s="56"/>
      <c r="BT40" s="63"/>
      <c r="BU40" s="56"/>
      <c r="BV40" s="9">
        <v>283479.36</v>
      </c>
      <c r="BW40" s="14">
        <v>0.05830629453720719</v>
      </c>
      <c r="BX40" s="10">
        <v>338</v>
      </c>
      <c r="BY40" s="14">
        <v>0.046225382932166305</v>
      </c>
      <c r="BZ40" s="56"/>
      <c r="CA40" s="63"/>
      <c r="CB40" s="56"/>
      <c r="CC40" s="9">
        <v>261744.5</v>
      </c>
      <c r="CD40" s="14">
        <v>0.06095730102274637</v>
      </c>
      <c r="CE40" s="10">
        <v>323</v>
      </c>
      <c r="CF40" s="14">
        <v>0.053002953724975384</v>
      </c>
      <c r="CG40" s="56"/>
      <c r="CH40" s="63"/>
      <c r="CI40" s="56"/>
      <c r="CJ40" s="9">
        <v>269108.82</v>
      </c>
      <c r="CK40" s="14">
        <v>0.06805971614156026</v>
      </c>
      <c r="CL40" s="10">
        <v>347</v>
      </c>
      <c r="CM40" s="14">
        <v>0.06559546313799622</v>
      </c>
      <c r="CN40" s="56"/>
      <c r="CO40" s="63"/>
      <c r="CP40" s="56"/>
      <c r="CQ40" s="9">
        <v>253442.79</v>
      </c>
      <c r="CR40" s="14">
        <v>0.06840489626946485</v>
      </c>
      <c r="CS40" s="10">
        <v>337</v>
      </c>
      <c r="CT40" s="14">
        <v>0.06947021232735519</v>
      </c>
      <c r="CU40" s="56"/>
      <c r="CV40" s="63"/>
      <c r="CW40" s="56"/>
      <c r="CX40" s="9">
        <v>237915.17</v>
      </c>
      <c r="CY40" s="14">
        <v>0.06817060945650363</v>
      </c>
      <c r="CZ40" s="10">
        <v>314</v>
      </c>
      <c r="DA40" s="14">
        <v>0.07142857142857142</v>
      </c>
      <c r="DB40" s="56"/>
      <c r="DC40" s="63"/>
      <c r="DD40" s="56"/>
    </row>
    <row r="41" spans="1:108" ht="12.75">
      <c r="A41" s="8" t="s">
        <v>49</v>
      </c>
      <c r="B41" s="8"/>
      <c r="C41" s="43">
        <v>801019.93</v>
      </c>
      <c r="D41" s="33">
        <f t="shared" si="21"/>
        <v>0.015618975881885563</v>
      </c>
      <c r="E41" s="46">
        <v>579</v>
      </c>
      <c r="F41" s="33">
        <f t="shared" si="22"/>
        <v>0.00850082952827003</v>
      </c>
      <c r="G41" s="33"/>
      <c r="H41" s="33"/>
      <c r="I41" s="9">
        <v>1125614.97</v>
      </c>
      <c r="J41" s="14">
        <f t="shared" si="23"/>
        <v>0.031353779654805534</v>
      </c>
      <c r="K41" s="10">
        <v>838</v>
      </c>
      <c r="L41" s="14">
        <f t="shared" si="24"/>
        <v>0.015853497039293216</v>
      </c>
      <c r="M41" s="56"/>
      <c r="N41" s="55"/>
      <c r="O41" s="56"/>
      <c r="P41" s="56"/>
      <c r="Q41" s="9">
        <v>1412278.34</v>
      </c>
      <c r="R41" s="14">
        <f t="shared" si="15"/>
        <v>0.052303143201393155</v>
      </c>
      <c r="S41" s="10">
        <v>1071</v>
      </c>
      <c r="T41" s="14">
        <f t="shared" si="16"/>
        <v>0.026069811596319555</v>
      </c>
      <c r="U41" s="56"/>
      <c r="V41" s="55"/>
      <c r="W41" s="56"/>
      <c r="X41" s="56"/>
      <c r="Y41" s="9">
        <v>1773459.48</v>
      </c>
      <c r="Z41" s="14">
        <v>0.0885936994717756</v>
      </c>
      <c r="AA41" s="10">
        <v>1345</v>
      </c>
      <c r="AB41" s="14">
        <v>0.044766184057247464</v>
      </c>
      <c r="AC41" s="56"/>
      <c r="AD41" s="63"/>
      <c r="AE41" s="56"/>
      <c r="AF41" s="9">
        <v>2015557.9</v>
      </c>
      <c r="AG41" s="14">
        <v>0.13129506630687113</v>
      </c>
      <c r="AH41" s="10">
        <v>1530</v>
      </c>
      <c r="AI41" s="14">
        <v>0.0631657171166708</v>
      </c>
      <c r="AJ41" s="56"/>
      <c r="AK41" s="63"/>
      <c r="AL41" s="56"/>
      <c r="AM41" s="9">
        <v>2111867.9</v>
      </c>
      <c r="AN41" s="14">
        <v>0.17651318729179602</v>
      </c>
      <c r="AO41" s="10">
        <v>1590</v>
      </c>
      <c r="AP41" s="14">
        <v>0.07912022292993631</v>
      </c>
      <c r="AQ41" s="56"/>
      <c r="AR41" s="63"/>
      <c r="AS41" s="56"/>
      <c r="AT41" s="9">
        <v>2200028.24</v>
      </c>
      <c r="AU41" s="14">
        <f t="shared" si="17"/>
        <v>0.23458003533009303</v>
      </c>
      <c r="AV41" s="10">
        <v>1680</v>
      </c>
      <c r="AW41" s="14">
        <f t="shared" si="18"/>
        <v>0.1046142350084065</v>
      </c>
      <c r="AX41" s="56"/>
      <c r="AY41" s="63"/>
      <c r="AZ41" s="56"/>
      <c r="BA41" s="9">
        <v>2209546.56</v>
      </c>
      <c r="BB41" s="14">
        <f t="shared" si="19"/>
        <v>0.18300601123689386</v>
      </c>
      <c r="BC41" s="10">
        <v>1674</v>
      </c>
      <c r="BD41" s="14">
        <f t="shared" si="20"/>
        <v>0.10775667846797554</v>
      </c>
      <c r="BE41" s="56"/>
      <c r="BF41" s="63"/>
      <c r="BG41" s="56"/>
      <c r="BH41" s="9">
        <v>2437778.81</v>
      </c>
      <c r="BI41" s="14">
        <v>0.37784196104466083</v>
      </c>
      <c r="BJ41" s="10">
        <v>1915</v>
      </c>
      <c r="BK41" s="14">
        <v>0.1920377055756117</v>
      </c>
      <c r="BL41" s="56"/>
      <c r="BM41" s="63"/>
      <c r="BN41" s="56"/>
      <c r="BO41" s="9">
        <v>2486592.040000005</v>
      </c>
      <c r="BP41" s="14">
        <v>0.4467586325831183</v>
      </c>
      <c r="BQ41" s="10">
        <v>1990</v>
      </c>
      <c r="BR41" s="14">
        <v>0.23381506285982845</v>
      </c>
      <c r="BS41" s="56"/>
      <c r="BT41" s="63"/>
      <c r="BU41" s="56"/>
      <c r="BV41" s="9">
        <v>2519152.08</v>
      </c>
      <c r="BW41" s="14">
        <v>0.5181415082935783</v>
      </c>
      <c r="BX41" s="10">
        <v>2011</v>
      </c>
      <c r="BY41" s="14">
        <v>0.275027352297593</v>
      </c>
      <c r="BZ41" s="56"/>
      <c r="CA41" s="63"/>
      <c r="CB41" s="56"/>
      <c r="CC41" s="9">
        <v>2541842.96</v>
      </c>
      <c r="CD41" s="14">
        <v>0.5919661596146962</v>
      </c>
      <c r="CE41" s="10">
        <v>2028</v>
      </c>
      <c r="CF41" s="14">
        <v>0.33278634722678047</v>
      </c>
      <c r="CG41" s="56"/>
      <c r="CH41" s="63"/>
      <c r="CI41" s="56"/>
      <c r="CJ41" s="9">
        <v>2557189.22</v>
      </c>
      <c r="CK41" s="14">
        <v>0.6467330666956888</v>
      </c>
      <c r="CL41" s="10">
        <v>2033</v>
      </c>
      <c r="CM41" s="14">
        <v>0.3843100189035917</v>
      </c>
      <c r="CN41" s="56"/>
      <c r="CO41" s="63"/>
      <c r="CP41" s="56"/>
      <c r="CQ41" s="9">
        <v>2582388.4</v>
      </c>
      <c r="CR41" s="14">
        <v>0.6969936316968003</v>
      </c>
      <c r="CS41" s="10">
        <v>2053</v>
      </c>
      <c r="CT41" s="14">
        <v>0.42321170892599463</v>
      </c>
      <c r="CU41" s="56"/>
      <c r="CV41" s="63"/>
      <c r="CW41" s="56"/>
      <c r="CX41" s="9">
        <v>2567729.54</v>
      </c>
      <c r="CY41" s="14">
        <v>0.7357399179769314</v>
      </c>
      <c r="CZ41" s="10">
        <v>2062</v>
      </c>
      <c r="DA41" s="14">
        <v>0.46906278434940857</v>
      </c>
      <c r="DB41" s="56"/>
      <c r="DC41" s="63"/>
      <c r="DD41" s="56"/>
    </row>
    <row r="42" spans="1:108" ht="12.75">
      <c r="A42" s="8"/>
      <c r="B42" s="8"/>
      <c r="C42" s="43"/>
      <c r="D42" s="33"/>
      <c r="E42" s="46"/>
      <c r="F42" s="33"/>
      <c r="G42" s="33"/>
      <c r="H42" s="33"/>
      <c r="I42" s="9"/>
      <c r="J42" s="14"/>
      <c r="K42" s="10"/>
      <c r="L42" s="8"/>
      <c r="M42" s="56"/>
      <c r="N42" s="55"/>
      <c r="O42" s="54"/>
      <c r="P42" s="54"/>
      <c r="Q42" s="9"/>
      <c r="R42" s="14"/>
      <c r="S42" s="10"/>
      <c r="T42" s="8"/>
      <c r="U42" s="56"/>
      <c r="V42" s="55"/>
      <c r="W42" s="54"/>
      <c r="X42" s="54"/>
      <c r="Y42" s="9"/>
      <c r="Z42" s="14"/>
      <c r="AA42" s="10"/>
      <c r="AB42" s="8"/>
      <c r="AC42" s="56"/>
      <c r="AD42" s="55"/>
      <c r="AE42" s="54"/>
      <c r="AF42" s="9"/>
      <c r="AG42" s="14"/>
      <c r="AH42" s="10"/>
      <c r="AI42" s="8"/>
      <c r="AJ42" s="56"/>
      <c r="AK42" s="55"/>
      <c r="AL42" s="54"/>
      <c r="AM42" s="9"/>
      <c r="AN42" s="14"/>
      <c r="AO42" s="10"/>
      <c r="AP42" s="8"/>
      <c r="AQ42" s="56"/>
      <c r="AR42" s="55"/>
      <c r="AS42" s="54"/>
      <c r="AT42" s="9"/>
      <c r="AU42" s="14"/>
      <c r="AV42" s="10"/>
      <c r="AW42" s="8"/>
      <c r="AX42" s="56"/>
      <c r="AY42" s="55"/>
      <c r="AZ42" s="54"/>
      <c r="BA42" s="9"/>
      <c r="BB42" s="14"/>
      <c r="BC42" s="10"/>
      <c r="BD42" s="8"/>
      <c r="BE42" s="56"/>
      <c r="BF42" s="55"/>
      <c r="BG42" s="54"/>
      <c r="BH42" s="9"/>
      <c r="BI42" s="14"/>
      <c r="BJ42" s="10"/>
      <c r="BK42" s="8"/>
      <c r="BL42" s="56"/>
      <c r="BM42" s="55"/>
      <c r="BN42" s="54"/>
      <c r="BO42" s="9"/>
      <c r="BP42" s="14"/>
      <c r="BQ42" s="10"/>
      <c r="BR42" s="8"/>
      <c r="BS42" s="56"/>
      <c r="BT42" s="55"/>
      <c r="BU42" s="54"/>
      <c r="BV42" s="9"/>
      <c r="BW42" s="14"/>
      <c r="BX42" s="10"/>
      <c r="BY42" s="8"/>
      <c r="BZ42" s="56"/>
      <c r="CA42" s="55"/>
      <c r="CB42" s="54"/>
      <c r="CC42" s="9"/>
      <c r="CD42" s="14"/>
      <c r="CE42" s="10"/>
      <c r="CF42" s="8"/>
      <c r="CG42" s="56"/>
      <c r="CH42" s="55"/>
      <c r="CI42" s="54"/>
      <c r="CJ42" s="9"/>
      <c r="CK42" s="14"/>
      <c r="CL42" s="10"/>
      <c r="CM42" s="8"/>
      <c r="CN42" s="56"/>
      <c r="CO42" s="55"/>
      <c r="CP42" s="54"/>
      <c r="CQ42" s="9"/>
      <c r="CR42" s="14"/>
      <c r="CS42" s="10"/>
      <c r="CT42" s="8"/>
      <c r="CU42" s="56"/>
      <c r="CV42" s="55"/>
      <c r="CW42" s="54"/>
      <c r="CX42" s="9"/>
      <c r="CY42" s="14"/>
      <c r="CZ42" s="10"/>
      <c r="DA42" s="8"/>
      <c r="DB42" s="56"/>
      <c r="DC42" s="55"/>
      <c r="DD42" s="54"/>
    </row>
    <row r="43" spans="1:108" ht="13.5" thickBot="1">
      <c r="A43" s="8"/>
      <c r="B43" s="8"/>
      <c r="C43" s="78">
        <f>SUM(C33:C41)</f>
        <v>51285048.14</v>
      </c>
      <c r="D43" s="12"/>
      <c r="E43" s="79">
        <f>SUM(E33:E41)</f>
        <v>68111</v>
      </c>
      <c r="F43" s="8"/>
      <c r="G43" s="8"/>
      <c r="H43" s="8"/>
      <c r="I43" s="21">
        <f>SUM(I33:I42)</f>
        <v>35900455.45999999</v>
      </c>
      <c r="J43" s="12"/>
      <c r="K43" s="22">
        <f>SUM(K33:K42)</f>
        <v>52859</v>
      </c>
      <c r="L43" s="23"/>
      <c r="M43" s="53"/>
      <c r="N43" s="31"/>
      <c r="O43" s="57"/>
      <c r="P43" s="57"/>
      <c r="Q43" s="21">
        <f>SUM(Q33:Q42)</f>
        <v>27001787.15000024</v>
      </c>
      <c r="R43" s="12"/>
      <c r="S43" s="22">
        <f>SUM(S33:S42)</f>
        <v>41082</v>
      </c>
      <c r="T43" s="23"/>
      <c r="U43" s="53"/>
      <c r="V43" s="31"/>
      <c r="W43" s="57"/>
      <c r="X43" s="57"/>
      <c r="Y43" s="21">
        <f>SUM(Y33:Y42)</f>
        <v>20017896.200000014</v>
      </c>
      <c r="Z43" s="12"/>
      <c r="AA43" s="22">
        <f>SUM(AA33:AA42)</f>
        <v>30045</v>
      </c>
      <c r="AB43" s="23"/>
      <c r="AC43" s="53"/>
      <c r="AD43" s="31"/>
      <c r="AE43" s="57"/>
      <c r="AF43" s="21">
        <f>SUM(AF33:AF42)</f>
        <v>15351360.540000124</v>
      </c>
      <c r="AG43" s="12"/>
      <c r="AH43" s="22">
        <f>SUM(AH33:AH42)</f>
        <v>24222</v>
      </c>
      <c r="AI43" s="23"/>
      <c r="AJ43" s="53"/>
      <c r="AK43" s="31"/>
      <c r="AL43" s="57"/>
      <c r="AM43" s="21">
        <f>SUM(AM33:AM42)</f>
        <v>11964363.300000058</v>
      </c>
      <c r="AN43" s="12"/>
      <c r="AO43" s="22">
        <f>SUM(AO33:AO42)</f>
        <v>20096</v>
      </c>
      <c r="AP43" s="23"/>
      <c r="AQ43" s="53"/>
      <c r="AR43" s="31"/>
      <c r="AS43" s="57"/>
      <c r="AT43" s="21">
        <f>SUM(AT33:AT42)</f>
        <v>9378582.610000018</v>
      </c>
      <c r="AU43" s="12"/>
      <c r="AV43" s="22">
        <f>SUM(AV33:AV42)</f>
        <v>16059</v>
      </c>
      <c r="AW43" s="23"/>
      <c r="AX43" s="53"/>
      <c r="AY43" s="31"/>
      <c r="AZ43" s="57"/>
      <c r="BA43" s="21">
        <f>SUM(BA33:BA42)</f>
        <v>12073628.32</v>
      </c>
      <c r="BB43" s="12"/>
      <c r="BC43" s="22">
        <f>SUM(BC33:BC42)</f>
        <v>15535</v>
      </c>
      <c r="BD43" s="23"/>
      <c r="BE43" s="53"/>
      <c r="BF43" s="31"/>
      <c r="BG43" s="57"/>
      <c r="BH43" s="21">
        <f>SUM(BH33:BH42)</f>
        <v>6451847.759999995</v>
      </c>
      <c r="BI43" s="12"/>
      <c r="BJ43" s="22">
        <f>SUM(BJ33:BJ42)</f>
        <v>9972</v>
      </c>
      <c r="BK43" s="23"/>
      <c r="BL43" s="53"/>
      <c r="BM43" s="31"/>
      <c r="BN43" s="57"/>
      <c r="BO43" s="21">
        <f>SUM(BO33:BO42)</f>
        <v>5565851.130000005</v>
      </c>
      <c r="BP43" s="12"/>
      <c r="BQ43" s="22">
        <f>SUM(BQ33:BQ42)</f>
        <v>8511</v>
      </c>
      <c r="BR43" s="23"/>
      <c r="BS43" s="53"/>
      <c r="BT43" s="31"/>
      <c r="BU43" s="57"/>
      <c r="BV43" s="21">
        <f>SUM(BV33:BV42)</f>
        <v>4861899.77</v>
      </c>
      <c r="BW43" s="12"/>
      <c r="BX43" s="22">
        <f>SUM(BX33:BX42)</f>
        <v>7312</v>
      </c>
      <c r="BY43" s="23"/>
      <c r="BZ43" s="53"/>
      <c r="CA43" s="31"/>
      <c r="CB43" s="57"/>
      <c r="CC43" s="21">
        <f>SUM(CC33:CC42)</f>
        <v>4293899.1</v>
      </c>
      <c r="CD43" s="12"/>
      <c r="CE43" s="22">
        <f>SUM(CE33:CE42)</f>
        <v>6094</v>
      </c>
      <c r="CF43" s="23"/>
      <c r="CG43" s="53"/>
      <c r="CH43" s="31"/>
      <c r="CI43" s="57"/>
      <c r="CJ43" s="21">
        <f>SUM(CJ33:CJ42)</f>
        <v>3954010.319999999</v>
      </c>
      <c r="CK43" s="12"/>
      <c r="CL43" s="22">
        <f>SUM(CL33:CL42)</f>
        <v>5290</v>
      </c>
      <c r="CM43" s="23"/>
      <c r="CN43" s="53"/>
      <c r="CO43" s="31"/>
      <c r="CP43" s="57"/>
      <c r="CQ43" s="21">
        <f>SUM(CQ33:CQ42)</f>
        <v>3705038.7299999995</v>
      </c>
      <c r="CR43" s="12"/>
      <c r="CS43" s="22">
        <f>SUM(CS33:CS42)</f>
        <v>4851</v>
      </c>
      <c r="CT43" s="23"/>
      <c r="CU43" s="53"/>
      <c r="CV43" s="31"/>
      <c r="CW43" s="57"/>
      <c r="CX43" s="21">
        <f>SUM(CX33:CX42)</f>
        <v>3489996.23</v>
      </c>
      <c r="CY43" s="12"/>
      <c r="CZ43" s="22">
        <f>SUM(CZ33:CZ42)</f>
        <v>4396</v>
      </c>
      <c r="DA43" s="23"/>
      <c r="DB43" s="53"/>
      <c r="DC43" s="31"/>
      <c r="DD43" s="57"/>
    </row>
    <row r="44" spans="1:108" ht="13.5" thickTop="1">
      <c r="A44" s="8"/>
      <c r="B44" s="8"/>
      <c r="C44" s="43"/>
      <c r="D44" s="8"/>
      <c r="E44" s="43"/>
      <c r="F44" s="8"/>
      <c r="G44" s="8"/>
      <c r="H44" s="8"/>
      <c r="I44" s="12"/>
      <c r="J44" s="8"/>
      <c r="K44" s="8"/>
      <c r="L44" s="9"/>
      <c r="M44" s="54"/>
      <c r="N44" s="55"/>
      <c r="O44" s="54"/>
      <c r="P44" s="54"/>
      <c r="Q44" s="12"/>
      <c r="R44" s="8"/>
      <c r="S44" s="8"/>
      <c r="T44" s="9"/>
      <c r="U44" s="54"/>
      <c r="V44" s="55"/>
      <c r="W44" s="54"/>
      <c r="X44" s="54"/>
      <c r="Y44" s="12"/>
      <c r="Z44" s="8"/>
      <c r="AA44" s="8"/>
      <c r="AB44" s="9"/>
      <c r="AC44" s="54"/>
      <c r="AD44" s="55"/>
      <c r="AE44" s="54"/>
      <c r="AF44" s="12"/>
      <c r="AG44" s="8"/>
      <c r="AH44" s="8"/>
      <c r="AI44" s="9"/>
      <c r="AJ44" s="54"/>
      <c r="AK44" s="55"/>
      <c r="AL44" s="54"/>
      <c r="AM44" s="12"/>
      <c r="AN44" s="8"/>
      <c r="AO44" s="8"/>
      <c r="AP44" s="9"/>
      <c r="AQ44" s="54"/>
      <c r="AR44" s="55"/>
      <c r="AS44" s="54"/>
      <c r="AT44" s="12"/>
      <c r="AU44" s="8"/>
      <c r="AV44" s="8"/>
      <c r="AW44" s="9"/>
      <c r="AX44" s="54"/>
      <c r="AY44" s="55"/>
      <c r="AZ44" s="54"/>
      <c r="BA44" s="12"/>
      <c r="BB44" s="8"/>
      <c r="BC44" s="8"/>
      <c r="BD44" s="9"/>
      <c r="BE44" s="54"/>
      <c r="BF44" s="55"/>
      <c r="BG44" s="54"/>
      <c r="BH44" s="12"/>
      <c r="BI44" s="8"/>
      <c r="BJ44" s="8"/>
      <c r="BK44" s="9"/>
      <c r="BL44" s="54"/>
      <c r="BM44" s="55"/>
      <c r="BN44" s="54"/>
      <c r="BO44" s="12"/>
      <c r="BP44" s="8"/>
      <c r="BQ44" s="8"/>
      <c r="BR44" s="9"/>
      <c r="BS44" s="54"/>
      <c r="BT44" s="55"/>
      <c r="BU44" s="54"/>
      <c r="BV44" s="12"/>
      <c r="BW44" s="8"/>
      <c r="BX44" s="8"/>
      <c r="BY44" s="9"/>
      <c r="BZ44" s="54"/>
      <c r="CA44" s="55"/>
      <c r="CB44" s="54"/>
      <c r="CC44" s="12"/>
      <c r="CD44" s="8"/>
      <c r="CE44" s="8"/>
      <c r="CF44" s="9"/>
      <c r="CG44" s="54"/>
      <c r="CH44" s="55"/>
      <c r="CI44" s="54"/>
      <c r="CJ44" s="12"/>
      <c r="CK44" s="8"/>
      <c r="CL44" s="8"/>
      <c r="CM44" s="9"/>
      <c r="CN44" s="54"/>
      <c r="CO44" s="55"/>
      <c r="CP44" s="54"/>
      <c r="CQ44" s="12"/>
      <c r="CR44" s="8"/>
      <c r="CS44" s="8"/>
      <c r="CT44" s="9"/>
      <c r="CU44" s="54"/>
      <c r="CV44" s="55"/>
      <c r="CW44" s="54"/>
      <c r="CX44" s="12"/>
      <c r="CY44" s="8"/>
      <c r="CZ44" s="8"/>
      <c r="DA44" s="9"/>
      <c r="DB44" s="54"/>
      <c r="DC44" s="55"/>
      <c r="DD44" s="54"/>
    </row>
    <row r="45" spans="1:108" ht="12.75">
      <c r="A45" s="19" t="s">
        <v>135</v>
      </c>
      <c r="B45" s="8"/>
      <c r="C45" s="8"/>
      <c r="D45" s="8"/>
      <c r="E45" s="8"/>
      <c r="F45" s="8"/>
      <c r="G45" s="8"/>
      <c r="H45" s="8"/>
      <c r="I45" s="19" t="s">
        <v>135</v>
      </c>
      <c r="J45" s="8"/>
      <c r="K45" s="8"/>
      <c r="L45" s="8"/>
      <c r="M45" s="8"/>
      <c r="N45" s="8"/>
      <c r="O45" s="8"/>
      <c r="P45" s="8"/>
      <c r="Q45" s="19" t="s">
        <v>135</v>
      </c>
      <c r="R45" s="8"/>
      <c r="S45" s="8"/>
      <c r="T45" s="8"/>
      <c r="U45" s="8"/>
      <c r="V45" s="8"/>
      <c r="W45" s="8"/>
      <c r="X45" s="8"/>
      <c r="Y45" s="19" t="s">
        <v>135</v>
      </c>
      <c r="Z45" s="8"/>
      <c r="AA45" s="8"/>
      <c r="AB45" s="8"/>
      <c r="AC45" s="8"/>
      <c r="AD45" s="8"/>
      <c r="AE45" s="8"/>
      <c r="AF45" s="19" t="s">
        <v>135</v>
      </c>
      <c r="AG45" s="8"/>
      <c r="AH45" s="8"/>
      <c r="AI45" s="8"/>
      <c r="AJ45" s="8"/>
      <c r="AK45" s="8"/>
      <c r="AL45" s="8"/>
      <c r="AM45" s="19" t="s">
        <v>135</v>
      </c>
      <c r="AN45" s="8"/>
      <c r="AO45" s="8"/>
      <c r="AP45" s="8"/>
      <c r="AQ45" s="8"/>
      <c r="AR45" s="8"/>
      <c r="AS45" s="8"/>
      <c r="AT45" s="19" t="s">
        <v>135</v>
      </c>
      <c r="AU45" s="8"/>
      <c r="AV45" s="8"/>
      <c r="AW45" s="8"/>
      <c r="AX45" s="8"/>
      <c r="AY45" s="8"/>
      <c r="AZ45" s="8"/>
      <c r="BA45" s="19" t="s">
        <v>135</v>
      </c>
      <c r="BB45" s="8"/>
      <c r="BC45" s="8"/>
      <c r="BD45" s="8"/>
      <c r="BE45" s="8"/>
      <c r="BF45" s="8"/>
      <c r="BG45" s="8"/>
      <c r="BH45" s="19" t="s">
        <v>135</v>
      </c>
      <c r="BI45" s="8"/>
      <c r="BJ45" s="8"/>
      <c r="BK45" s="8"/>
      <c r="BL45" s="8"/>
      <c r="BM45" s="8"/>
      <c r="BN45" s="8"/>
      <c r="BO45" s="19" t="s">
        <v>135</v>
      </c>
      <c r="BP45" s="8"/>
      <c r="BQ45" s="8"/>
      <c r="BR45" s="8"/>
      <c r="BS45" s="8"/>
      <c r="BT45" s="8"/>
      <c r="BU45" s="8"/>
      <c r="BV45" s="19" t="s">
        <v>135</v>
      </c>
      <c r="BW45" s="8"/>
      <c r="BX45" s="8"/>
      <c r="BY45" s="8"/>
      <c r="BZ45" s="8"/>
      <c r="CA45" s="8"/>
      <c r="CB45" s="8"/>
      <c r="CC45" s="19" t="s">
        <v>135</v>
      </c>
      <c r="CD45" s="8"/>
      <c r="CE45" s="8"/>
      <c r="CF45" s="8"/>
      <c r="CG45" s="8"/>
      <c r="CH45" s="8"/>
      <c r="CI45" s="8"/>
      <c r="CJ45" s="19" t="s">
        <v>135</v>
      </c>
      <c r="CK45" s="8"/>
      <c r="CL45" s="8"/>
      <c r="CM45" s="8"/>
      <c r="CN45" s="8"/>
      <c r="CO45" s="8"/>
      <c r="CP45" s="8"/>
      <c r="CQ45" s="19" t="s">
        <v>135</v>
      </c>
      <c r="CR45" s="8"/>
      <c r="CS45" s="8"/>
      <c r="CT45" s="8"/>
      <c r="CU45" s="8"/>
      <c r="CV45" s="8"/>
      <c r="CW45" s="8"/>
      <c r="CX45" s="19" t="s">
        <v>135</v>
      </c>
      <c r="CY45" s="8"/>
      <c r="CZ45" s="8"/>
      <c r="DA45" s="8"/>
      <c r="DB45" s="8"/>
      <c r="DC45" s="8"/>
      <c r="DD45" s="8"/>
    </row>
    <row r="46" spans="1:108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</row>
    <row r="47" spans="1:108" ht="12.75">
      <c r="A47" s="8" t="s">
        <v>130</v>
      </c>
      <c r="B47" s="8"/>
      <c r="C47" s="8"/>
      <c r="D47" s="8"/>
      <c r="E47" s="8"/>
      <c r="F47" s="8"/>
      <c r="G47" s="8"/>
      <c r="H47" s="8"/>
      <c r="I47" s="8" t="s">
        <v>122</v>
      </c>
      <c r="J47" s="8"/>
      <c r="K47" s="8"/>
      <c r="L47" s="9"/>
      <c r="M47" s="8"/>
      <c r="N47" s="10"/>
      <c r="O47" s="8"/>
      <c r="P47" s="8"/>
      <c r="Q47" s="8" t="s">
        <v>122</v>
      </c>
      <c r="R47" s="8"/>
      <c r="S47" s="8"/>
      <c r="T47" s="9"/>
      <c r="U47" s="8"/>
      <c r="V47" s="10"/>
      <c r="W47" s="8"/>
      <c r="X47" s="8"/>
      <c r="Y47" s="8" t="s">
        <v>122</v>
      </c>
      <c r="Z47" s="8"/>
      <c r="AA47" s="8"/>
      <c r="AB47" s="9"/>
      <c r="AC47" s="8"/>
      <c r="AD47" s="10"/>
      <c r="AE47" s="8"/>
      <c r="AF47" s="8" t="s">
        <v>122</v>
      </c>
      <c r="AG47" s="8"/>
      <c r="AH47" s="8"/>
      <c r="AI47" s="9"/>
      <c r="AJ47" s="8"/>
      <c r="AK47" s="10"/>
      <c r="AL47" s="8"/>
      <c r="AM47" s="8" t="s">
        <v>122</v>
      </c>
      <c r="AN47" s="8"/>
      <c r="AO47" s="8"/>
      <c r="AP47" s="9"/>
      <c r="AQ47" s="8"/>
      <c r="AR47" s="10"/>
      <c r="AS47" s="8"/>
      <c r="AT47" s="8" t="s">
        <v>122</v>
      </c>
      <c r="AU47" s="8"/>
      <c r="AV47" s="8"/>
      <c r="AW47" s="9"/>
      <c r="AX47" s="8"/>
      <c r="AY47" s="10"/>
      <c r="AZ47" s="8"/>
      <c r="BA47" s="8" t="s">
        <v>122</v>
      </c>
      <c r="BB47" s="8"/>
      <c r="BC47" s="8"/>
      <c r="BD47" s="9"/>
      <c r="BE47" s="8"/>
      <c r="BF47" s="10"/>
      <c r="BG47" s="8"/>
      <c r="BH47" s="8" t="s">
        <v>122</v>
      </c>
      <c r="BI47" s="8"/>
      <c r="BJ47" s="8"/>
      <c r="BK47" s="9"/>
      <c r="BL47" s="8"/>
      <c r="BM47" s="10"/>
      <c r="BN47" s="8"/>
      <c r="BO47" s="8" t="s">
        <v>122</v>
      </c>
      <c r="BP47" s="8"/>
      <c r="BQ47" s="8"/>
      <c r="BR47" s="9"/>
      <c r="BS47" s="8"/>
      <c r="BT47" s="10"/>
      <c r="BU47" s="8"/>
      <c r="BV47" s="8" t="s">
        <v>122</v>
      </c>
      <c r="BW47" s="8"/>
      <c r="BX47" s="8"/>
      <c r="BY47" s="9"/>
      <c r="BZ47" s="8"/>
      <c r="CA47" s="10"/>
      <c r="CB47" s="8"/>
      <c r="CC47" s="8" t="s">
        <v>122</v>
      </c>
      <c r="CD47" s="8"/>
      <c r="CE47" s="8"/>
      <c r="CF47" s="9"/>
      <c r="CG47" s="8"/>
      <c r="CH47" s="10"/>
      <c r="CI47" s="8"/>
      <c r="CJ47" s="8" t="s">
        <v>122</v>
      </c>
      <c r="CK47" s="8"/>
      <c r="CL47" s="8"/>
      <c r="CM47" s="9"/>
      <c r="CN47" s="8"/>
      <c r="CO47" s="10"/>
      <c r="CP47" s="8"/>
      <c r="CQ47" s="8" t="s">
        <v>122</v>
      </c>
      <c r="CR47" s="8"/>
      <c r="CS47" s="8"/>
      <c r="CT47" s="9"/>
      <c r="CU47" s="8"/>
      <c r="CV47" s="10"/>
      <c r="CW47" s="8"/>
      <c r="CX47" s="8" t="s">
        <v>122</v>
      </c>
      <c r="CY47" s="8"/>
      <c r="CZ47" s="8"/>
      <c r="DA47" s="9"/>
      <c r="DB47" s="8"/>
      <c r="DC47" s="10"/>
      <c r="DD47" s="8"/>
    </row>
    <row r="48" spans="1:108" ht="12.75">
      <c r="A48" s="8"/>
      <c r="B48" s="8"/>
      <c r="C48" s="8"/>
      <c r="D48" s="8"/>
      <c r="E48" s="8"/>
      <c r="F48" s="8"/>
      <c r="G48" s="8"/>
      <c r="H48" s="8"/>
      <c r="I48" s="19"/>
      <c r="J48" s="8"/>
      <c r="K48" s="8"/>
      <c r="L48" s="9"/>
      <c r="M48" s="8"/>
      <c r="N48" s="10"/>
      <c r="O48" s="8"/>
      <c r="P48" s="8"/>
      <c r="Q48" s="19"/>
      <c r="R48" s="8"/>
      <c r="S48" s="8"/>
      <c r="T48" s="9"/>
      <c r="U48" s="8"/>
      <c r="V48" s="10"/>
      <c r="W48" s="8"/>
      <c r="X48" s="8"/>
      <c r="Y48" s="19"/>
      <c r="Z48" s="8"/>
      <c r="AA48" s="8"/>
      <c r="AB48" s="9"/>
      <c r="AC48" s="8"/>
      <c r="AD48" s="10"/>
      <c r="AE48" s="8"/>
      <c r="AF48" s="19"/>
      <c r="AG48" s="8"/>
      <c r="AH48" s="8"/>
      <c r="AI48" s="9"/>
      <c r="AJ48" s="8"/>
      <c r="AK48" s="10"/>
      <c r="AL48" s="8"/>
      <c r="AM48" s="19"/>
      <c r="AN48" s="8"/>
      <c r="AO48" s="8"/>
      <c r="AP48" s="9"/>
      <c r="AQ48" s="8"/>
      <c r="AR48" s="10"/>
      <c r="AS48" s="8"/>
      <c r="AT48" s="19"/>
      <c r="AU48" s="8"/>
      <c r="AV48" s="8"/>
      <c r="AW48" s="9"/>
      <c r="AX48" s="8"/>
      <c r="AY48" s="10"/>
      <c r="AZ48" s="8"/>
      <c r="BA48" s="19"/>
      <c r="BB48" s="8"/>
      <c r="BC48" s="8"/>
      <c r="BD48" s="9"/>
      <c r="BE48" s="8"/>
      <c r="BF48" s="10"/>
      <c r="BG48" s="8"/>
      <c r="BH48" s="19"/>
      <c r="BI48" s="8"/>
      <c r="BJ48" s="8"/>
      <c r="BK48" s="9"/>
      <c r="BL48" s="8"/>
      <c r="BM48" s="10"/>
      <c r="BN48" s="8"/>
      <c r="BO48" s="19"/>
      <c r="BP48" s="8"/>
      <c r="BQ48" s="8"/>
      <c r="BR48" s="9"/>
      <c r="BS48" s="8"/>
      <c r="BT48" s="10"/>
      <c r="BU48" s="8"/>
      <c r="BV48" s="19"/>
      <c r="BW48" s="8"/>
      <c r="BX48" s="8"/>
      <c r="BY48" s="9"/>
      <c r="BZ48" s="8"/>
      <c r="CA48" s="10"/>
      <c r="CB48" s="8"/>
      <c r="CC48" s="19"/>
      <c r="CD48" s="8"/>
      <c r="CE48" s="8"/>
      <c r="CF48" s="9"/>
      <c r="CG48" s="8"/>
      <c r="CH48" s="10"/>
      <c r="CI48" s="8"/>
      <c r="CJ48" s="19"/>
      <c r="CK48" s="8"/>
      <c r="CL48" s="8"/>
      <c r="CM48" s="9"/>
      <c r="CN48" s="8"/>
      <c r="CO48" s="10"/>
      <c r="CP48" s="8"/>
      <c r="CQ48" s="19"/>
      <c r="CR48" s="8"/>
      <c r="CS48" s="8"/>
      <c r="CT48" s="9"/>
      <c r="CU48" s="8"/>
      <c r="CV48" s="10"/>
      <c r="CW48" s="8"/>
      <c r="CX48" s="19"/>
      <c r="CY48" s="8"/>
      <c r="CZ48" s="8"/>
      <c r="DA48" s="9"/>
      <c r="DB48" s="8"/>
      <c r="DC48" s="10"/>
      <c r="DD48" s="8"/>
    </row>
    <row r="49" spans="1:108" s="45" customFormat="1" ht="12.75">
      <c r="A49" s="26"/>
      <c r="B49" s="26"/>
      <c r="C49" s="26" t="s">
        <v>99</v>
      </c>
      <c r="D49" s="26" t="s">
        <v>100</v>
      </c>
      <c r="E49" s="26" t="s">
        <v>101</v>
      </c>
      <c r="F49" s="26" t="s">
        <v>100</v>
      </c>
      <c r="G49" s="26"/>
      <c r="H49" s="26"/>
      <c r="I49" s="26" t="s">
        <v>99</v>
      </c>
      <c r="J49" s="44" t="s">
        <v>100</v>
      </c>
      <c r="K49" s="26" t="s">
        <v>101</v>
      </c>
      <c r="L49" s="26" t="s">
        <v>100</v>
      </c>
      <c r="M49" s="72"/>
      <c r="N49" s="64"/>
      <c r="O49" s="64"/>
      <c r="P49" s="64"/>
      <c r="Q49" s="26" t="s">
        <v>99</v>
      </c>
      <c r="R49" s="44" t="s">
        <v>100</v>
      </c>
      <c r="S49" s="26" t="s">
        <v>101</v>
      </c>
      <c r="T49" s="26" t="s">
        <v>100</v>
      </c>
      <c r="U49" s="72"/>
      <c r="V49" s="64"/>
      <c r="W49" s="64"/>
      <c r="X49" s="64"/>
      <c r="Y49" s="26" t="s">
        <v>99</v>
      </c>
      <c r="Z49" s="44" t="s">
        <v>100</v>
      </c>
      <c r="AA49" s="26" t="s">
        <v>101</v>
      </c>
      <c r="AB49" s="26" t="s">
        <v>100</v>
      </c>
      <c r="AC49" s="72"/>
      <c r="AD49" s="64"/>
      <c r="AE49" s="64"/>
      <c r="AF49" s="26" t="s">
        <v>99</v>
      </c>
      <c r="AG49" s="44" t="s">
        <v>100</v>
      </c>
      <c r="AH49" s="26" t="s">
        <v>101</v>
      </c>
      <c r="AI49" s="26" t="s">
        <v>100</v>
      </c>
      <c r="AJ49" s="72"/>
      <c r="AK49" s="64"/>
      <c r="AL49" s="64"/>
      <c r="AM49" s="26" t="s">
        <v>99</v>
      </c>
      <c r="AN49" s="44" t="s">
        <v>100</v>
      </c>
      <c r="AO49" s="26" t="s">
        <v>101</v>
      </c>
      <c r="AP49" s="26" t="s">
        <v>100</v>
      </c>
      <c r="AQ49" s="72"/>
      <c r="AR49" s="64"/>
      <c r="AS49" s="64"/>
      <c r="AT49" s="26" t="s">
        <v>99</v>
      </c>
      <c r="AU49" s="44" t="s">
        <v>100</v>
      </c>
      <c r="AV49" s="26" t="s">
        <v>101</v>
      </c>
      <c r="AW49" s="26" t="s">
        <v>100</v>
      </c>
      <c r="AX49" s="72"/>
      <c r="AY49" s="64"/>
      <c r="AZ49" s="64"/>
      <c r="BA49" s="26" t="s">
        <v>99</v>
      </c>
      <c r="BB49" s="44" t="s">
        <v>100</v>
      </c>
      <c r="BC49" s="26" t="s">
        <v>101</v>
      </c>
      <c r="BD49" s="26" t="s">
        <v>100</v>
      </c>
      <c r="BE49" s="72"/>
      <c r="BF49" s="64"/>
      <c r="BG49" s="64"/>
      <c r="BH49" s="44" t="s">
        <v>99</v>
      </c>
      <c r="BI49" s="44" t="s">
        <v>100</v>
      </c>
      <c r="BJ49" s="44" t="s">
        <v>101</v>
      </c>
      <c r="BK49" s="44" t="s">
        <v>100</v>
      </c>
      <c r="BL49" s="72"/>
      <c r="BM49" s="64"/>
      <c r="BN49" s="64"/>
      <c r="BO49" s="44" t="s">
        <v>99</v>
      </c>
      <c r="BP49" s="44" t="s">
        <v>100</v>
      </c>
      <c r="BQ49" s="44" t="s">
        <v>101</v>
      </c>
      <c r="BR49" s="44" t="s">
        <v>100</v>
      </c>
      <c r="BS49" s="72"/>
      <c r="BT49" s="64"/>
      <c r="BU49" s="64"/>
      <c r="BV49" s="44" t="s">
        <v>99</v>
      </c>
      <c r="BW49" s="44" t="s">
        <v>100</v>
      </c>
      <c r="BX49" s="44" t="s">
        <v>101</v>
      </c>
      <c r="BY49" s="44" t="s">
        <v>100</v>
      </c>
      <c r="BZ49" s="72"/>
      <c r="CA49" s="64"/>
      <c r="CB49" s="64"/>
      <c r="CC49" s="44" t="s">
        <v>99</v>
      </c>
      <c r="CD49" s="44" t="s">
        <v>100</v>
      </c>
      <c r="CE49" s="44" t="s">
        <v>101</v>
      </c>
      <c r="CF49" s="44" t="s">
        <v>100</v>
      </c>
      <c r="CG49" s="72"/>
      <c r="CH49" s="64"/>
      <c r="CI49" s="64"/>
      <c r="CJ49" s="44" t="s">
        <v>99</v>
      </c>
      <c r="CK49" s="44" t="s">
        <v>100</v>
      </c>
      <c r="CL49" s="44" t="s">
        <v>101</v>
      </c>
      <c r="CM49" s="44" t="s">
        <v>100</v>
      </c>
      <c r="CN49" s="72"/>
      <c r="CO49" s="64"/>
      <c r="CP49" s="64"/>
      <c r="CQ49" s="44" t="s">
        <v>99</v>
      </c>
      <c r="CR49" s="44" t="s">
        <v>100</v>
      </c>
      <c r="CS49" s="44" t="s">
        <v>101</v>
      </c>
      <c r="CT49" s="44" t="s">
        <v>100</v>
      </c>
      <c r="CU49" s="72"/>
      <c r="CV49" s="64"/>
      <c r="CW49" s="64"/>
      <c r="CX49" s="44" t="s">
        <v>99</v>
      </c>
      <c r="CY49" s="44" t="s">
        <v>100</v>
      </c>
      <c r="CZ49" s="44" t="s">
        <v>101</v>
      </c>
      <c r="DA49" s="44" t="s">
        <v>100</v>
      </c>
      <c r="DB49" s="72"/>
      <c r="DC49" s="64"/>
      <c r="DD49" s="64"/>
    </row>
    <row r="50" spans="1:108" ht="12.75">
      <c r="A50" s="8"/>
      <c r="B50" s="8"/>
      <c r="C50" s="8"/>
      <c r="D50" s="8"/>
      <c r="E50" s="8"/>
      <c r="F50" s="8"/>
      <c r="G50" s="8"/>
      <c r="H50" s="8"/>
      <c r="I50" s="9"/>
      <c r="J50" s="8"/>
      <c r="K50" s="10"/>
      <c r="L50" s="8"/>
      <c r="M50" s="54"/>
      <c r="N50" s="55"/>
      <c r="O50" s="54"/>
      <c r="P50" s="54"/>
      <c r="Q50" s="9"/>
      <c r="R50" s="8"/>
      <c r="S50" s="10"/>
      <c r="T50" s="8"/>
      <c r="U50" s="54"/>
      <c r="V50" s="55"/>
      <c r="W50" s="54"/>
      <c r="X50" s="54"/>
      <c r="Y50" s="9"/>
      <c r="Z50" s="8"/>
      <c r="AA50" s="10"/>
      <c r="AB50" s="8"/>
      <c r="AC50" s="54"/>
      <c r="AD50" s="55"/>
      <c r="AE50" s="54"/>
      <c r="AF50" s="9"/>
      <c r="AG50" s="8"/>
      <c r="AH50" s="10"/>
      <c r="AI50" s="8"/>
      <c r="AJ50" s="54"/>
      <c r="AK50" s="55"/>
      <c r="AL50" s="54"/>
      <c r="AM50" s="9"/>
      <c r="AN50" s="8"/>
      <c r="AO50" s="10"/>
      <c r="AP50" s="8"/>
      <c r="AQ50" s="54"/>
      <c r="AR50" s="55"/>
      <c r="AS50" s="54"/>
      <c r="AT50" s="9"/>
      <c r="AU50" s="8"/>
      <c r="AV50" s="10"/>
      <c r="AW50" s="8"/>
      <c r="AX50" s="54"/>
      <c r="AY50" s="55"/>
      <c r="AZ50" s="54"/>
      <c r="BA50" s="9"/>
      <c r="BB50" s="8"/>
      <c r="BC50" s="10"/>
      <c r="BD50" s="8"/>
      <c r="BE50" s="54"/>
      <c r="BF50" s="55"/>
      <c r="BG50" s="54"/>
      <c r="BH50" s="9"/>
      <c r="BI50" s="8"/>
      <c r="BJ50" s="10"/>
      <c r="BK50" s="8"/>
      <c r="BL50" s="54"/>
      <c r="BM50" s="55"/>
      <c r="BN50" s="54"/>
      <c r="BO50" s="9"/>
      <c r="BP50" s="8"/>
      <c r="BQ50" s="10"/>
      <c r="BR50" s="8"/>
      <c r="BS50" s="54"/>
      <c r="BT50" s="55"/>
      <c r="BU50" s="54"/>
      <c r="BV50" s="9"/>
      <c r="BW50" s="8"/>
      <c r="BX50" s="10"/>
      <c r="BY50" s="8"/>
      <c r="BZ50" s="54"/>
      <c r="CA50" s="55"/>
      <c r="CB50" s="54"/>
      <c r="CC50" s="9"/>
      <c r="CD50" s="8"/>
      <c r="CE50" s="10"/>
      <c r="CF50" s="8"/>
      <c r="CG50" s="54"/>
      <c r="CH50" s="55"/>
      <c r="CI50" s="54"/>
      <c r="CJ50" s="9"/>
      <c r="CK50" s="8"/>
      <c r="CL50" s="10"/>
      <c r="CM50" s="8"/>
      <c r="CN50" s="54"/>
      <c r="CO50" s="55"/>
      <c r="CP50" s="54"/>
      <c r="CQ50" s="9"/>
      <c r="CR50" s="8"/>
      <c r="CS50" s="10"/>
      <c r="CT50" s="8"/>
      <c r="CU50" s="54"/>
      <c r="CV50" s="55"/>
      <c r="CW50" s="54"/>
      <c r="CX50" s="9"/>
      <c r="CY50" s="8"/>
      <c r="CZ50" s="10"/>
      <c r="DA50" s="8"/>
      <c r="DB50" s="54"/>
      <c r="DC50" s="55"/>
      <c r="DD50" s="54"/>
    </row>
    <row r="51" spans="1:108" ht="12.75">
      <c r="A51" s="8" t="s">
        <v>43</v>
      </c>
      <c r="B51" s="8"/>
      <c r="C51" s="43">
        <v>7218.91</v>
      </c>
      <c r="D51" s="33">
        <f>+C51/C61</f>
        <v>1</v>
      </c>
      <c r="E51" s="46">
        <v>2</v>
      </c>
      <c r="F51" s="33">
        <f>+E51/E61</f>
        <v>1</v>
      </c>
      <c r="G51" s="33"/>
      <c r="H51" s="33"/>
      <c r="I51" s="75">
        <v>6780.04</v>
      </c>
      <c r="J51" s="14">
        <f>+I51/I61</f>
        <v>1</v>
      </c>
      <c r="K51" s="74">
        <v>2</v>
      </c>
      <c r="L51" s="14">
        <f>+K51/K61</f>
        <v>1</v>
      </c>
      <c r="M51" s="56"/>
      <c r="N51" s="55"/>
      <c r="O51" s="56"/>
      <c r="P51" s="56"/>
      <c r="Q51" s="75">
        <f>3576255.44</f>
        <v>3576255.44</v>
      </c>
      <c r="R51" s="14">
        <f>+Q51/$Q$61</f>
        <v>0.9979605498541767</v>
      </c>
      <c r="S51" s="74">
        <v>451</v>
      </c>
      <c r="T51" s="14">
        <f>+S51/$S$61</f>
        <v>0.9912087912087912</v>
      </c>
      <c r="U51" s="56"/>
      <c r="V51" s="55"/>
      <c r="W51" s="56"/>
      <c r="X51" s="56"/>
      <c r="Y51" s="75">
        <v>12795801.85</v>
      </c>
      <c r="Z51" s="14">
        <f>+Y51/$Y$61</f>
        <v>0.9940292494140276</v>
      </c>
      <c r="AA51" s="74">
        <v>1547</v>
      </c>
      <c r="AB51" s="14">
        <f>+AA51/$AA$61</f>
        <v>0.98786717752235</v>
      </c>
      <c r="AC51" s="56"/>
      <c r="AD51" s="55"/>
      <c r="AE51" s="56"/>
      <c r="AF51" s="75">
        <v>18903510.77</v>
      </c>
      <c r="AG51" s="14">
        <f>+AF51/AF61</f>
        <v>0.9840942970357444</v>
      </c>
      <c r="AH51" s="74">
        <v>2272</v>
      </c>
      <c r="AI51" s="14">
        <f>+AH51/$AH$61</f>
        <v>0.9772043010752688</v>
      </c>
      <c r="AJ51" s="56"/>
      <c r="AK51" s="55"/>
      <c r="AL51" s="56"/>
      <c r="AM51" s="75">
        <v>25674309.28</v>
      </c>
      <c r="AN51" s="14">
        <f>+AM51/AM61</f>
        <v>0.9691171624033865</v>
      </c>
      <c r="AO51" s="74">
        <v>3084</v>
      </c>
      <c r="AP51" s="14">
        <f>+AO51/$AO$61</f>
        <v>0.9622464898595944</v>
      </c>
      <c r="AQ51" s="56"/>
      <c r="AR51" s="55"/>
      <c r="AS51" s="56"/>
      <c r="AT51" s="75">
        <v>29298648.68</v>
      </c>
      <c r="AU51" s="14">
        <f>+AT51/$AT$61</f>
        <v>0.9538086182609523</v>
      </c>
      <c r="AV51" s="74">
        <v>3583</v>
      </c>
      <c r="AW51" s="14">
        <f>+AV51/$AV$61</f>
        <v>0.9456320929005014</v>
      </c>
      <c r="AX51" s="56"/>
      <c r="AY51" s="55"/>
      <c r="AZ51" s="56"/>
      <c r="BA51" s="75">
        <v>35976142.58</v>
      </c>
      <c r="BB51" s="14">
        <f>+BA51/$BA$61</f>
        <v>0.946420654715735</v>
      </c>
      <c r="BC51" s="74">
        <v>4422</v>
      </c>
      <c r="BD51" s="14">
        <f>+BC51/$BC$61</f>
        <v>0.9398512221041445</v>
      </c>
      <c r="BE51" s="56"/>
      <c r="BF51" s="55"/>
      <c r="BG51" s="56"/>
      <c r="BH51" s="75">
        <v>32146834.41</v>
      </c>
      <c r="BI51" s="14">
        <f>+BH51/BH61</f>
        <v>0.9172035421442566</v>
      </c>
      <c r="BJ51" s="74">
        <v>4004</v>
      </c>
      <c r="BK51" s="14">
        <f>+BJ51/BJ61</f>
        <v>0.9309462915601023</v>
      </c>
      <c r="BL51" s="56"/>
      <c r="BM51" s="55"/>
      <c r="BN51" s="56"/>
      <c r="BO51" s="75">
        <v>28415214.069999944</v>
      </c>
      <c r="BP51" s="14">
        <v>0.8815913893054066</v>
      </c>
      <c r="BQ51" s="74">
        <v>3649</v>
      </c>
      <c r="BR51" s="14">
        <v>0.906583850931677</v>
      </c>
      <c r="BS51" s="56"/>
      <c r="BT51" s="55"/>
      <c r="BU51" s="56"/>
      <c r="BV51" s="75">
        <v>24952429.359999936</v>
      </c>
      <c r="BW51" s="14">
        <v>0.8482160036124158</v>
      </c>
      <c r="BX51" s="74">
        <v>3340</v>
      </c>
      <c r="BY51" s="14">
        <v>0.8803373748023194</v>
      </c>
      <c r="BZ51" s="56"/>
      <c r="CA51" s="55"/>
      <c r="CB51" s="56"/>
      <c r="CC51" s="75">
        <v>21868568.25000002</v>
      </c>
      <c r="CD51" s="14">
        <v>0.8056632808487285</v>
      </c>
      <c r="CE51" s="74">
        <v>3051</v>
      </c>
      <c r="CF51" s="14">
        <v>0.8522346368715084</v>
      </c>
      <c r="CG51" s="56"/>
      <c r="CH51" s="55"/>
      <c r="CI51" s="56"/>
      <c r="CJ51" s="75">
        <v>19247847.65999997</v>
      </c>
      <c r="CK51" s="14">
        <v>0.7791630054240093</v>
      </c>
      <c r="CL51" s="74">
        <v>2794</v>
      </c>
      <c r="CM51" s="14">
        <v>0.8372789931075817</v>
      </c>
      <c r="CN51" s="56"/>
      <c r="CO51" s="55"/>
      <c r="CP51" s="56"/>
      <c r="CQ51" s="75">
        <v>16614859.100000039</v>
      </c>
      <c r="CR51" s="14">
        <v>0.7406971574502258</v>
      </c>
      <c r="CS51" s="74">
        <v>2471</v>
      </c>
      <c r="CT51" s="14">
        <v>0.8133640552995391</v>
      </c>
      <c r="CU51" s="56"/>
      <c r="CV51" s="55"/>
      <c r="CW51" s="56"/>
      <c r="CX51" s="75">
        <v>14297872.870000001</v>
      </c>
      <c r="CY51" s="14">
        <v>0.7005932733722832</v>
      </c>
      <c r="CZ51" s="74">
        <v>2203</v>
      </c>
      <c r="DA51" s="14">
        <v>0.7839857651245552</v>
      </c>
      <c r="DB51" s="56"/>
      <c r="DC51" s="55"/>
      <c r="DD51" s="56"/>
    </row>
    <row r="52" spans="1:108" ht="12.75">
      <c r="A52" s="8" t="s">
        <v>44</v>
      </c>
      <c r="B52" s="8"/>
      <c r="C52" s="43">
        <v>0</v>
      </c>
      <c r="D52" s="33">
        <f>+C52/$C$61</f>
        <v>0</v>
      </c>
      <c r="E52" s="46">
        <v>0</v>
      </c>
      <c r="F52" s="33">
        <f>+E52/$E$61</f>
        <v>0</v>
      </c>
      <c r="G52" s="33"/>
      <c r="H52" s="33"/>
      <c r="I52" s="75">
        <v>0</v>
      </c>
      <c r="J52" s="14">
        <f>+I52/$I$61</f>
        <v>0</v>
      </c>
      <c r="K52" s="74">
        <v>0</v>
      </c>
      <c r="L52" s="14">
        <f>+K52/$K$61</f>
        <v>0</v>
      </c>
      <c r="M52" s="56"/>
      <c r="N52" s="55"/>
      <c r="O52" s="56"/>
      <c r="P52" s="56"/>
      <c r="Q52" s="75">
        <v>7308.5</v>
      </c>
      <c r="R52" s="14">
        <f aca="true" t="shared" si="25" ref="R52:R59">+Q52/$Q$61</f>
        <v>0.0020394501458232666</v>
      </c>
      <c r="S52" s="74">
        <v>4</v>
      </c>
      <c r="T52" s="14">
        <f aca="true" t="shared" si="26" ref="T52:T59">+S52/$S$61</f>
        <v>0.008791208791208791</v>
      </c>
      <c r="U52" s="56"/>
      <c r="V52" s="55"/>
      <c r="W52" s="56"/>
      <c r="X52" s="56"/>
      <c r="Y52" s="75">
        <v>31240.78</v>
      </c>
      <c r="Z52" s="14">
        <f aca="true" t="shared" si="27" ref="Z52:Z59">+Y52/$Y$61</f>
        <v>0.0024269091893220247</v>
      </c>
      <c r="AA52" s="74">
        <v>5</v>
      </c>
      <c r="AB52" s="14">
        <f aca="true" t="shared" si="28" ref="AB52:AB59">+AA52/$AA$61</f>
        <v>0.0031928480204342275</v>
      </c>
      <c r="AC52" s="56"/>
      <c r="AD52" s="55"/>
      <c r="AE52" s="56"/>
      <c r="AF52" s="75">
        <v>171716.77</v>
      </c>
      <c r="AG52" s="14">
        <f>+AF52/$AF61</f>
        <v>0.008939370898795145</v>
      </c>
      <c r="AH52" s="74">
        <v>16</v>
      </c>
      <c r="AI52" s="14">
        <f>+AH52/$AH$61</f>
        <v>0.006881720430107527</v>
      </c>
      <c r="AJ52" s="56"/>
      <c r="AK52" s="55"/>
      <c r="AL52" s="56"/>
      <c r="AM52" s="75">
        <v>335640.02</v>
      </c>
      <c r="AN52" s="14">
        <f>+AM52/$AF61</f>
        <v>0.017473020411803812</v>
      </c>
      <c r="AO52" s="74">
        <v>40</v>
      </c>
      <c r="AP52" s="14">
        <f>+AO52/$AO$61</f>
        <v>0.0124804992199688</v>
      </c>
      <c r="AQ52" s="56"/>
      <c r="AR52" s="55"/>
      <c r="AS52" s="56"/>
      <c r="AT52" s="75">
        <v>430476.93</v>
      </c>
      <c r="AU52" s="14">
        <f aca="true" t="shared" si="29" ref="AU52:AU59">+AT52/$AT$61</f>
        <v>0.014014045844947027</v>
      </c>
      <c r="AV52" s="74">
        <v>48</v>
      </c>
      <c r="AW52" s="14">
        <f aca="true" t="shared" si="30" ref="AW52:AW59">+AV52/$AV$61</f>
        <v>0.012668250197941409</v>
      </c>
      <c r="AX52" s="56"/>
      <c r="AY52" s="55"/>
      <c r="AZ52" s="56"/>
      <c r="BA52" s="75">
        <v>370893.46</v>
      </c>
      <c r="BB52" s="14">
        <f aca="true" t="shared" si="31" ref="BB52:BB59">+BA52/$BA$61</f>
        <v>0.009757055817266118</v>
      </c>
      <c r="BC52" s="74">
        <v>36</v>
      </c>
      <c r="BD52" s="14">
        <f aca="true" t="shared" si="32" ref="BD52:BD59">+BC52/$BC$61</f>
        <v>0.0076514346439957494</v>
      </c>
      <c r="BE52" s="56"/>
      <c r="BF52" s="55"/>
      <c r="BG52" s="56"/>
      <c r="BH52" s="75">
        <v>621120.25</v>
      </c>
      <c r="BI52" s="14">
        <f>+BH52/BH61</f>
        <v>0.01772161097206853</v>
      </c>
      <c r="BJ52" s="74">
        <v>68</v>
      </c>
      <c r="BK52" s="14">
        <f>+BJ52/BJ61</f>
        <v>0.015810276679841896</v>
      </c>
      <c r="BL52" s="56"/>
      <c r="BM52" s="55"/>
      <c r="BN52" s="56"/>
      <c r="BO52" s="75">
        <v>674624.01</v>
      </c>
      <c r="BP52" s="14">
        <v>0.0209304324355803</v>
      </c>
      <c r="BQ52" s="74">
        <v>68</v>
      </c>
      <c r="BR52" s="14">
        <v>0.0168944099378882</v>
      </c>
      <c r="BS52" s="56"/>
      <c r="BT52" s="55"/>
      <c r="BU52" s="56"/>
      <c r="BV52" s="75">
        <v>740906.92</v>
      </c>
      <c r="BW52" s="14">
        <v>0.025185888622877784</v>
      </c>
      <c r="BX52" s="74">
        <v>80</v>
      </c>
      <c r="BY52" s="14">
        <v>0.021085925144965736</v>
      </c>
      <c r="BZ52" s="56"/>
      <c r="CA52" s="55"/>
      <c r="CB52" s="56"/>
      <c r="CC52" s="75">
        <v>616449.12</v>
      </c>
      <c r="CD52" s="14">
        <v>0.022710696686579417</v>
      </c>
      <c r="CE52" s="74">
        <v>66</v>
      </c>
      <c r="CF52" s="14">
        <v>0.018435754189944135</v>
      </c>
      <c r="CG52" s="56"/>
      <c r="CH52" s="55"/>
      <c r="CI52" s="56"/>
      <c r="CJ52" s="75">
        <v>575033.54</v>
      </c>
      <c r="CK52" s="14">
        <v>0.02327766039925152</v>
      </c>
      <c r="CL52" s="74">
        <v>68</v>
      </c>
      <c r="CM52" s="14">
        <v>0.020377584656877435</v>
      </c>
      <c r="CN52" s="56"/>
      <c r="CO52" s="55"/>
      <c r="CP52" s="56"/>
      <c r="CQ52" s="75">
        <v>535424.28</v>
      </c>
      <c r="CR52" s="14">
        <v>0.02386943156357148</v>
      </c>
      <c r="CS52" s="74">
        <v>55</v>
      </c>
      <c r="CT52" s="14">
        <v>0.018104015799868336</v>
      </c>
      <c r="CU52" s="56"/>
      <c r="CV52" s="55"/>
      <c r="CW52" s="56"/>
      <c r="CX52" s="75">
        <v>592240.83</v>
      </c>
      <c r="CY52" s="14">
        <v>0.02901969722957942</v>
      </c>
      <c r="CZ52" s="74">
        <v>64</v>
      </c>
      <c r="DA52" s="14">
        <v>0.022775800711743774</v>
      </c>
      <c r="DB52" s="56"/>
      <c r="DC52" s="55"/>
      <c r="DD52" s="56"/>
    </row>
    <row r="53" spans="1:108" ht="12.75">
      <c r="A53" s="8" t="s">
        <v>45</v>
      </c>
      <c r="B53" s="8"/>
      <c r="C53" s="43">
        <v>0</v>
      </c>
      <c r="D53" s="33">
        <f aca="true" t="shared" si="33" ref="D53:D59">+C53/$C$61</f>
        <v>0</v>
      </c>
      <c r="E53" s="46">
        <v>0</v>
      </c>
      <c r="F53" s="33">
        <f aca="true" t="shared" si="34" ref="F53:F59">+E53/$E$61</f>
        <v>0</v>
      </c>
      <c r="G53" s="33"/>
      <c r="H53" s="33"/>
      <c r="I53" s="75">
        <v>0</v>
      </c>
      <c r="J53" s="14">
        <f aca="true" t="shared" si="35" ref="J53:J59">+I53/$I$61</f>
        <v>0</v>
      </c>
      <c r="K53" s="74">
        <v>0</v>
      </c>
      <c r="L53" s="14">
        <f aca="true" t="shared" si="36" ref="L53:L59">+K53/$K$61</f>
        <v>0</v>
      </c>
      <c r="M53" s="56"/>
      <c r="N53" s="55"/>
      <c r="O53" s="56"/>
      <c r="P53" s="56"/>
      <c r="Q53" s="75">
        <v>0</v>
      </c>
      <c r="R53" s="14">
        <f t="shared" si="25"/>
        <v>0</v>
      </c>
      <c r="S53" s="74">
        <v>0</v>
      </c>
      <c r="T53" s="14">
        <f t="shared" si="26"/>
        <v>0</v>
      </c>
      <c r="U53" s="56"/>
      <c r="V53" s="55"/>
      <c r="W53" s="56"/>
      <c r="X53" s="56"/>
      <c r="Y53" s="75">
        <v>30175.66</v>
      </c>
      <c r="Z53" s="14">
        <f t="shared" si="27"/>
        <v>0.0023441663923838346</v>
      </c>
      <c r="AA53" s="74">
        <v>5</v>
      </c>
      <c r="AB53" s="14">
        <f t="shared" si="28"/>
        <v>0.0031928480204342275</v>
      </c>
      <c r="AC53" s="56"/>
      <c r="AD53" s="55"/>
      <c r="AE53" s="56"/>
      <c r="AF53" s="75">
        <v>52678.6</v>
      </c>
      <c r="AG53" s="14">
        <f>+AF53/$AF61</f>
        <v>0.002742385288456508</v>
      </c>
      <c r="AH53" s="74">
        <v>7</v>
      </c>
      <c r="AI53" s="14">
        <f aca="true" t="shared" si="37" ref="AI53:AI59">+AH53/$AH$61</f>
        <v>0.003010752688172043</v>
      </c>
      <c r="AJ53" s="56"/>
      <c r="AK53" s="55"/>
      <c r="AL53" s="56"/>
      <c r="AM53" s="75">
        <v>185944.76</v>
      </c>
      <c r="AN53" s="14">
        <f>+AM53/$AF61</f>
        <v>0.009680063143089912</v>
      </c>
      <c r="AO53" s="74">
        <v>19</v>
      </c>
      <c r="AP53" s="14">
        <f>+AO53/$AO$61</f>
        <v>0.00592823712948518</v>
      </c>
      <c r="AQ53" s="56"/>
      <c r="AR53" s="55"/>
      <c r="AS53" s="56"/>
      <c r="AT53" s="75">
        <v>254368.09</v>
      </c>
      <c r="AU53" s="14">
        <f t="shared" si="29"/>
        <v>0.008280875992011027</v>
      </c>
      <c r="AV53" s="74">
        <v>26</v>
      </c>
      <c r="AW53" s="14">
        <f t="shared" si="30"/>
        <v>0.006861968857218264</v>
      </c>
      <c r="AX53" s="56"/>
      <c r="AY53" s="55"/>
      <c r="AZ53" s="56"/>
      <c r="BA53" s="75">
        <v>466347.95</v>
      </c>
      <c r="BB53" s="14">
        <f t="shared" si="31"/>
        <v>0.012268167193936579</v>
      </c>
      <c r="BC53" s="74">
        <v>45</v>
      </c>
      <c r="BD53" s="14">
        <f t="shared" si="32"/>
        <v>0.009564293304994687</v>
      </c>
      <c r="BE53" s="56"/>
      <c r="BF53" s="55"/>
      <c r="BG53" s="56"/>
      <c r="BH53" s="75">
        <v>497514.72</v>
      </c>
      <c r="BI53" s="14">
        <f>+BH53/BH61</f>
        <v>0.014194936199097681</v>
      </c>
      <c r="BJ53" s="74">
        <v>47</v>
      </c>
      <c r="BK53" s="14">
        <f>+BJ53/BJ61</f>
        <v>0.010927691234596606</v>
      </c>
      <c r="BL53" s="56"/>
      <c r="BM53" s="55"/>
      <c r="BN53" s="56"/>
      <c r="BO53" s="75">
        <v>523405.47</v>
      </c>
      <c r="BP53" s="14">
        <v>0.01623882735251025</v>
      </c>
      <c r="BQ53" s="74">
        <v>46</v>
      </c>
      <c r="BR53" s="14">
        <v>0.011428571428571429</v>
      </c>
      <c r="BS53" s="56"/>
      <c r="BT53" s="55"/>
      <c r="BU53" s="56"/>
      <c r="BV53" s="75">
        <v>492070.63</v>
      </c>
      <c r="BW53" s="14">
        <v>0.01672711611570493</v>
      </c>
      <c r="BX53" s="74">
        <v>50</v>
      </c>
      <c r="BY53" s="14">
        <v>0.013178703215603585</v>
      </c>
      <c r="BZ53" s="56"/>
      <c r="CA53" s="55"/>
      <c r="CB53" s="56"/>
      <c r="CC53" s="75">
        <v>605162.92</v>
      </c>
      <c r="CD53" s="14">
        <v>0.022294900059366997</v>
      </c>
      <c r="CE53" s="74">
        <v>62</v>
      </c>
      <c r="CF53" s="14">
        <v>0.017318435754189943</v>
      </c>
      <c r="CG53" s="56"/>
      <c r="CH53" s="55"/>
      <c r="CI53" s="56"/>
      <c r="CJ53" s="75">
        <v>373364.87</v>
      </c>
      <c r="CK53" s="14">
        <v>0.015114006478423314</v>
      </c>
      <c r="CL53" s="74">
        <v>37</v>
      </c>
      <c r="CM53" s="14">
        <v>0.011087803416242133</v>
      </c>
      <c r="CN53" s="56"/>
      <c r="CO53" s="55"/>
      <c r="CP53" s="56"/>
      <c r="CQ53" s="75">
        <v>334271.28</v>
      </c>
      <c r="CR53" s="14">
        <v>0.014901949238513136</v>
      </c>
      <c r="CS53" s="74">
        <v>40</v>
      </c>
      <c r="CT53" s="14">
        <v>0.013166556945358789</v>
      </c>
      <c r="CU53" s="56"/>
      <c r="CV53" s="55"/>
      <c r="CW53" s="56"/>
      <c r="CX53" s="75">
        <v>242239.46</v>
      </c>
      <c r="CY53" s="14">
        <v>0.011869691230604306</v>
      </c>
      <c r="CZ53" s="74">
        <v>29</v>
      </c>
      <c r="DA53" s="14">
        <v>0.010320284697508897</v>
      </c>
      <c r="DB53" s="56"/>
      <c r="DC53" s="55"/>
      <c r="DD53" s="56"/>
    </row>
    <row r="54" spans="1:108" ht="12.75">
      <c r="A54" s="8" t="s">
        <v>46</v>
      </c>
      <c r="B54" s="8"/>
      <c r="C54" s="43">
        <v>0</v>
      </c>
      <c r="D54" s="33">
        <f t="shared" si="33"/>
        <v>0</v>
      </c>
      <c r="E54" s="46">
        <v>0</v>
      </c>
      <c r="F54" s="33">
        <f t="shared" si="34"/>
        <v>0</v>
      </c>
      <c r="G54" s="33"/>
      <c r="H54" s="33"/>
      <c r="I54" s="75">
        <v>0</v>
      </c>
      <c r="J54" s="14">
        <f t="shared" si="35"/>
        <v>0</v>
      </c>
      <c r="K54" s="74">
        <v>0</v>
      </c>
      <c r="L54" s="14">
        <f t="shared" si="36"/>
        <v>0</v>
      </c>
      <c r="M54" s="56"/>
      <c r="N54" s="55"/>
      <c r="O54" s="56"/>
      <c r="P54" s="56"/>
      <c r="Q54" s="75">
        <v>0</v>
      </c>
      <c r="R54" s="14">
        <f t="shared" si="25"/>
        <v>0</v>
      </c>
      <c r="S54" s="74">
        <v>0</v>
      </c>
      <c r="T54" s="14">
        <f t="shared" si="26"/>
        <v>0</v>
      </c>
      <c r="U54" s="56"/>
      <c r="V54" s="55"/>
      <c r="W54" s="56"/>
      <c r="X54" s="56"/>
      <c r="Y54" s="75">
        <v>10075.74</v>
      </c>
      <c r="Z54" s="14">
        <f t="shared" si="27"/>
        <v>0.0007827239267143617</v>
      </c>
      <c r="AA54" s="74">
        <v>3</v>
      </c>
      <c r="AB54" s="14">
        <f t="shared" si="28"/>
        <v>0.0019157088122605363</v>
      </c>
      <c r="AC54" s="56"/>
      <c r="AD54" s="55"/>
      <c r="AE54" s="56"/>
      <c r="AF54" s="75">
        <v>28486.31</v>
      </c>
      <c r="AG54" s="14">
        <f>+AF54/$AF61</f>
        <v>0.0014829634323313742</v>
      </c>
      <c r="AH54" s="74">
        <v>6</v>
      </c>
      <c r="AI54" s="14">
        <f t="shared" si="37"/>
        <v>0.0025806451612903226</v>
      </c>
      <c r="AJ54" s="56"/>
      <c r="AK54" s="55"/>
      <c r="AL54" s="56"/>
      <c r="AM54" s="75">
        <v>138368.59</v>
      </c>
      <c r="AN54" s="14">
        <f>+AM54/$AF61</f>
        <v>0.007203304294352362</v>
      </c>
      <c r="AO54" s="74">
        <v>15</v>
      </c>
      <c r="AP54" s="14">
        <f>+AO54/AO61</f>
        <v>0.0046801872074883</v>
      </c>
      <c r="AQ54" s="56"/>
      <c r="AR54" s="55"/>
      <c r="AS54" s="56"/>
      <c r="AT54" s="75">
        <v>235671.79</v>
      </c>
      <c r="AU54" s="14">
        <f t="shared" si="29"/>
        <v>0.0076722236181639945</v>
      </c>
      <c r="AV54" s="74">
        <v>23</v>
      </c>
      <c r="AW54" s="14">
        <f t="shared" si="30"/>
        <v>0.006070203219846925</v>
      </c>
      <c r="AX54" s="56"/>
      <c r="AY54" s="55"/>
      <c r="AZ54" s="56"/>
      <c r="BA54" s="75">
        <v>254546.55</v>
      </c>
      <c r="BB54" s="14">
        <f t="shared" si="31"/>
        <v>0.0066963297126957175</v>
      </c>
      <c r="BC54" s="74">
        <v>26</v>
      </c>
      <c r="BD54" s="14">
        <f t="shared" si="32"/>
        <v>0.005526036131774708</v>
      </c>
      <c r="BE54" s="56"/>
      <c r="BF54" s="55"/>
      <c r="BG54" s="56"/>
      <c r="BH54" s="75">
        <v>266397.54</v>
      </c>
      <c r="BI54" s="14">
        <f>+BH54/BH61</f>
        <v>0.007600772262369589</v>
      </c>
      <c r="BJ54" s="74">
        <v>27</v>
      </c>
      <c r="BK54" s="14">
        <f>+BJ54/BJ61</f>
        <v>0.006277609858172518</v>
      </c>
      <c r="BL54" s="56"/>
      <c r="BM54" s="55"/>
      <c r="BN54" s="56"/>
      <c r="BO54" s="75">
        <v>515371.71</v>
      </c>
      <c r="BP54" s="14">
        <v>0.015989577298567367</v>
      </c>
      <c r="BQ54" s="74">
        <v>48</v>
      </c>
      <c r="BR54" s="14">
        <v>0.011925465838509317</v>
      </c>
      <c r="BS54" s="56"/>
      <c r="BT54" s="55"/>
      <c r="BU54" s="56"/>
      <c r="BV54" s="75">
        <v>335347.05</v>
      </c>
      <c r="BW54" s="14">
        <v>0.01139956075900955</v>
      </c>
      <c r="BX54" s="74">
        <v>34</v>
      </c>
      <c r="BY54" s="14">
        <v>0.008961518186610437</v>
      </c>
      <c r="BZ54" s="56"/>
      <c r="CA54" s="55"/>
      <c r="CB54" s="56"/>
      <c r="CC54" s="75">
        <v>526044.74</v>
      </c>
      <c r="CD54" s="14">
        <v>0.019380095041275327</v>
      </c>
      <c r="CE54" s="74">
        <v>51</v>
      </c>
      <c r="CF54" s="14">
        <v>0.014245810055865922</v>
      </c>
      <c r="CG54" s="56"/>
      <c r="CH54" s="55"/>
      <c r="CI54" s="56"/>
      <c r="CJ54" s="75">
        <v>522926.23</v>
      </c>
      <c r="CK54" s="14">
        <v>0.021168329060946407</v>
      </c>
      <c r="CL54" s="74">
        <v>48</v>
      </c>
      <c r="CM54" s="14">
        <v>0.01438417740485466</v>
      </c>
      <c r="CN54" s="56"/>
      <c r="CO54" s="55"/>
      <c r="CP54" s="56"/>
      <c r="CQ54" s="75">
        <v>322836.83</v>
      </c>
      <c r="CR54" s="14">
        <v>0.01439219681984792</v>
      </c>
      <c r="CS54" s="74">
        <v>28</v>
      </c>
      <c r="CT54" s="14">
        <v>0.009216589861751152</v>
      </c>
      <c r="CU54" s="56"/>
      <c r="CV54" s="55"/>
      <c r="CW54" s="56"/>
      <c r="CX54" s="75">
        <v>361275.84</v>
      </c>
      <c r="CY54" s="14">
        <v>0.01770245305978309</v>
      </c>
      <c r="CZ54" s="74">
        <v>43</v>
      </c>
      <c r="DA54" s="14">
        <v>0.015302491103202847</v>
      </c>
      <c r="DB54" s="56"/>
      <c r="DC54" s="55"/>
      <c r="DD54" s="56"/>
    </row>
    <row r="55" spans="1:108" ht="12.75">
      <c r="A55" s="8" t="s">
        <v>47</v>
      </c>
      <c r="B55" s="8"/>
      <c r="C55" s="43">
        <v>0</v>
      </c>
      <c r="D55" s="33">
        <f t="shared" si="33"/>
        <v>0</v>
      </c>
      <c r="E55" s="46">
        <v>0</v>
      </c>
      <c r="F55" s="33">
        <f t="shared" si="34"/>
        <v>0</v>
      </c>
      <c r="G55" s="33"/>
      <c r="H55" s="33"/>
      <c r="I55" s="75">
        <v>0</v>
      </c>
      <c r="J55" s="14">
        <f t="shared" si="35"/>
        <v>0</v>
      </c>
      <c r="K55" s="74">
        <v>0</v>
      </c>
      <c r="L55" s="14">
        <f t="shared" si="36"/>
        <v>0</v>
      </c>
      <c r="M55" s="56"/>
      <c r="N55" s="55"/>
      <c r="O55" s="56"/>
      <c r="P55" s="56"/>
      <c r="Q55" s="75">
        <v>0</v>
      </c>
      <c r="R55" s="14">
        <f t="shared" si="25"/>
        <v>0</v>
      </c>
      <c r="S55" s="74">
        <v>0</v>
      </c>
      <c r="T55" s="14">
        <f t="shared" si="26"/>
        <v>0</v>
      </c>
      <c r="U55" s="56"/>
      <c r="V55" s="55"/>
      <c r="W55" s="56"/>
      <c r="X55" s="56"/>
      <c r="Y55" s="75">
        <f>4980.97+386.3</f>
        <v>5367.27</v>
      </c>
      <c r="Z55" s="14">
        <f t="shared" si="27"/>
        <v>0.00041695107755223865</v>
      </c>
      <c r="AA55" s="74">
        <v>6</v>
      </c>
      <c r="AB55" s="14">
        <f t="shared" si="28"/>
        <v>0.0038314176245210726</v>
      </c>
      <c r="AC55" s="56"/>
      <c r="AD55" s="55"/>
      <c r="AE55" s="56"/>
      <c r="AF55" s="75">
        <v>17067.39</v>
      </c>
      <c r="AG55" s="14">
        <f>+AF55/$AF61</f>
        <v>0.0008885080326422822</v>
      </c>
      <c r="AH55" s="74">
        <v>3</v>
      </c>
      <c r="AI55" s="14">
        <f t="shared" si="37"/>
        <v>0.0012903225806451613</v>
      </c>
      <c r="AJ55" s="56"/>
      <c r="AK55" s="55"/>
      <c r="AL55" s="56"/>
      <c r="AM55" s="75">
        <v>65631.32</v>
      </c>
      <c r="AN55" s="14">
        <f>+AM55/$AF61</f>
        <v>0.0034166884926702954</v>
      </c>
      <c r="AO55" s="74">
        <v>6</v>
      </c>
      <c r="AP55" s="14">
        <f>+AO55/AO61</f>
        <v>0.00187207488299532</v>
      </c>
      <c r="AQ55" s="56"/>
      <c r="AR55" s="55"/>
      <c r="AS55" s="56"/>
      <c r="AT55" s="75">
        <v>203423.78</v>
      </c>
      <c r="AU55" s="14">
        <f t="shared" si="29"/>
        <v>0.006622399436997514</v>
      </c>
      <c r="AV55" s="74">
        <v>19</v>
      </c>
      <c r="AW55" s="14">
        <f t="shared" si="30"/>
        <v>0.005014515703351808</v>
      </c>
      <c r="AX55" s="56"/>
      <c r="AY55" s="55"/>
      <c r="AZ55" s="56"/>
      <c r="BA55" s="75">
        <v>235147.2</v>
      </c>
      <c r="BB55" s="14">
        <f t="shared" si="31"/>
        <v>0.006185993022561895</v>
      </c>
      <c r="BC55" s="74">
        <v>27</v>
      </c>
      <c r="BD55" s="14">
        <f t="shared" si="32"/>
        <v>0.005738575982996812</v>
      </c>
      <c r="BE55" s="56"/>
      <c r="BF55" s="55"/>
      <c r="BG55" s="56"/>
      <c r="BH55" s="75">
        <v>234200.96</v>
      </c>
      <c r="BI55" s="14">
        <f>+BH55/BH61</f>
        <v>0.006682149394428829</v>
      </c>
      <c r="BJ55" s="74">
        <v>20</v>
      </c>
      <c r="BK55" s="14">
        <f>+BJ55/BJ61</f>
        <v>0.0046500813764240876</v>
      </c>
      <c r="BL55" s="56"/>
      <c r="BM55" s="55"/>
      <c r="BN55" s="56"/>
      <c r="BO55" s="75">
        <v>327866.19</v>
      </c>
      <c r="BP55" s="14">
        <v>0.01017215669170466</v>
      </c>
      <c r="BQ55" s="74">
        <v>33</v>
      </c>
      <c r="BR55" s="14">
        <v>0.008198757763975155</v>
      </c>
      <c r="BS55" s="56"/>
      <c r="BT55" s="55"/>
      <c r="BU55" s="56"/>
      <c r="BV55" s="75">
        <v>444591.2</v>
      </c>
      <c r="BW55" s="14">
        <v>0.015113132491611206</v>
      </c>
      <c r="BX55" s="74">
        <v>48</v>
      </c>
      <c r="BY55" s="14">
        <v>0.012651555086979441</v>
      </c>
      <c r="BZ55" s="56"/>
      <c r="CA55" s="55"/>
      <c r="CB55" s="56"/>
      <c r="CC55" s="75">
        <v>441540.57</v>
      </c>
      <c r="CD55" s="14">
        <v>0.016266863938567053</v>
      </c>
      <c r="CE55" s="74">
        <v>45</v>
      </c>
      <c r="CF55" s="14">
        <v>0.012569832402234637</v>
      </c>
      <c r="CG55" s="56"/>
      <c r="CH55" s="55"/>
      <c r="CI55" s="56"/>
      <c r="CJ55" s="75">
        <v>309418.01</v>
      </c>
      <c r="CK55" s="14">
        <v>0.012525403923729752</v>
      </c>
      <c r="CL55" s="74">
        <v>29</v>
      </c>
      <c r="CM55" s="14">
        <v>0.008690440515433023</v>
      </c>
      <c r="CN55" s="56"/>
      <c r="CO55" s="55"/>
      <c r="CP55" s="56"/>
      <c r="CQ55" s="75">
        <v>344638.66</v>
      </c>
      <c r="CR55" s="14">
        <v>0.015364131243788532</v>
      </c>
      <c r="CS55" s="74">
        <v>35</v>
      </c>
      <c r="CT55" s="14">
        <v>0.01152073732718894</v>
      </c>
      <c r="CU55" s="56"/>
      <c r="CV55" s="55"/>
      <c r="CW55" s="56"/>
      <c r="CX55" s="75">
        <v>292907.44</v>
      </c>
      <c r="CY55" s="14">
        <v>0.014352413400965961</v>
      </c>
      <c r="CZ55" s="74">
        <v>29</v>
      </c>
      <c r="DA55" s="14">
        <v>0.010320284697508897</v>
      </c>
      <c r="DB55" s="56"/>
      <c r="DC55" s="55"/>
      <c r="DD55" s="56"/>
    </row>
    <row r="56" spans="1:108" ht="12.75">
      <c r="A56" s="8" t="s">
        <v>48</v>
      </c>
      <c r="B56" s="8"/>
      <c r="C56" s="43">
        <v>0</v>
      </c>
      <c r="D56" s="33">
        <f t="shared" si="33"/>
        <v>0</v>
      </c>
      <c r="E56" s="46">
        <v>0</v>
      </c>
      <c r="F56" s="33">
        <f t="shared" si="34"/>
        <v>0</v>
      </c>
      <c r="G56" s="33"/>
      <c r="H56" s="33"/>
      <c r="I56" s="75">
        <v>0</v>
      </c>
      <c r="J56" s="14">
        <f t="shared" si="35"/>
        <v>0</v>
      </c>
      <c r="K56" s="74">
        <v>0</v>
      </c>
      <c r="L56" s="14">
        <f t="shared" si="36"/>
        <v>0</v>
      </c>
      <c r="M56" s="56"/>
      <c r="N56" s="55"/>
      <c r="O56" s="56"/>
      <c r="P56" s="56"/>
      <c r="Q56" s="75">
        <v>0</v>
      </c>
      <c r="R56" s="14">
        <f t="shared" si="25"/>
        <v>0</v>
      </c>
      <c r="S56" s="74">
        <v>0</v>
      </c>
      <c r="T56" s="14">
        <f t="shared" si="26"/>
        <v>0</v>
      </c>
      <c r="U56" s="56"/>
      <c r="V56" s="55"/>
      <c r="W56" s="56"/>
      <c r="X56" s="56"/>
      <c r="Y56" s="75">
        <v>0</v>
      </c>
      <c r="Z56" s="14">
        <f t="shared" si="27"/>
        <v>0</v>
      </c>
      <c r="AA56" s="74">
        <v>0</v>
      </c>
      <c r="AB56" s="14">
        <f t="shared" si="28"/>
        <v>0</v>
      </c>
      <c r="AC56" s="56"/>
      <c r="AD56" s="55"/>
      <c r="AE56" s="56"/>
      <c r="AF56" s="75">
        <v>18768.27</v>
      </c>
      <c r="AG56" s="14">
        <f>+AF56/$AF61</f>
        <v>0.0009770538233320482</v>
      </c>
      <c r="AH56" s="74">
        <v>3</v>
      </c>
      <c r="AI56" s="14">
        <f t="shared" si="37"/>
        <v>0.0012903225806451613</v>
      </c>
      <c r="AJ56" s="56"/>
      <c r="AK56" s="55"/>
      <c r="AL56" s="56"/>
      <c r="AM56" s="75">
        <v>18501.79</v>
      </c>
      <c r="AN56" s="14">
        <f>+AM56/$AF61</f>
        <v>0.0009631811913397802</v>
      </c>
      <c r="AO56" s="74">
        <v>5</v>
      </c>
      <c r="AP56" s="14">
        <f>+AO56/AO61</f>
        <v>0.0015600624024961</v>
      </c>
      <c r="AQ56" s="56"/>
      <c r="AR56" s="55"/>
      <c r="AS56" s="56"/>
      <c r="AT56" s="75">
        <v>101316.94</v>
      </c>
      <c r="AU56" s="14">
        <f t="shared" si="29"/>
        <v>0.003298342241080718</v>
      </c>
      <c r="AV56" s="74">
        <v>10</v>
      </c>
      <c r="AW56" s="14">
        <f t="shared" si="30"/>
        <v>0.0026392187912377936</v>
      </c>
      <c r="AX56" s="56"/>
      <c r="AY56" s="55"/>
      <c r="AZ56" s="56"/>
      <c r="BA56" s="75">
        <v>214245.76</v>
      </c>
      <c r="BB56" s="14">
        <f t="shared" si="31"/>
        <v>0.005636141006456681</v>
      </c>
      <c r="BC56" s="74">
        <v>20</v>
      </c>
      <c r="BD56" s="14">
        <f t="shared" si="32"/>
        <v>0.004250797024442083</v>
      </c>
      <c r="BE56" s="56"/>
      <c r="BF56" s="55"/>
      <c r="BG56" s="56"/>
      <c r="BH56" s="75">
        <v>336775.52</v>
      </c>
      <c r="BI56" s="14">
        <f>+BH56/BH61</f>
        <v>0.009608775032461242</v>
      </c>
      <c r="BJ56" s="74">
        <v>33</v>
      </c>
      <c r="BK56" s="14">
        <f>+BJ56/BJ61</f>
        <v>0.0076726342710997444</v>
      </c>
      <c r="BL56" s="56"/>
      <c r="BM56" s="55"/>
      <c r="BN56" s="56"/>
      <c r="BO56" s="75">
        <v>346113.74</v>
      </c>
      <c r="BP56" s="14">
        <v>0.010738292949425273</v>
      </c>
      <c r="BQ56" s="74">
        <v>35</v>
      </c>
      <c r="BR56" s="14">
        <v>0.008695652173913044</v>
      </c>
      <c r="BS56" s="56"/>
      <c r="BT56" s="55"/>
      <c r="BU56" s="56"/>
      <c r="BV56" s="75">
        <v>429852.28</v>
      </c>
      <c r="BW56" s="14">
        <v>0.014612107615852842</v>
      </c>
      <c r="BX56" s="74">
        <v>37</v>
      </c>
      <c r="BY56" s="14">
        <v>0.009752240379546653</v>
      </c>
      <c r="BZ56" s="56"/>
      <c r="CA56" s="55"/>
      <c r="CB56" s="56"/>
      <c r="CC56" s="75">
        <v>359617.77</v>
      </c>
      <c r="CD56" s="14">
        <v>0.0132487334844019</v>
      </c>
      <c r="CE56" s="74">
        <v>36</v>
      </c>
      <c r="CF56" s="14">
        <v>0.01005586592178771</v>
      </c>
      <c r="CG56" s="56"/>
      <c r="CH56" s="55"/>
      <c r="CI56" s="56"/>
      <c r="CJ56" s="75">
        <v>389588.24</v>
      </c>
      <c r="CK56" s="14">
        <v>0.015770737036072884</v>
      </c>
      <c r="CL56" s="74">
        <v>38</v>
      </c>
      <c r="CM56" s="14">
        <v>0.011387473778843273</v>
      </c>
      <c r="CN56" s="56"/>
      <c r="CO56" s="55"/>
      <c r="CP56" s="56"/>
      <c r="CQ56" s="75">
        <v>355183.34</v>
      </c>
      <c r="CR56" s="14">
        <v>0.015834217354974527</v>
      </c>
      <c r="CS56" s="74">
        <v>35</v>
      </c>
      <c r="CT56" s="14">
        <v>0.01152073732718894</v>
      </c>
      <c r="CU56" s="56"/>
      <c r="CV56" s="55"/>
      <c r="CW56" s="56"/>
      <c r="CX56" s="75">
        <v>287342.38</v>
      </c>
      <c r="CY56" s="14">
        <v>0.014079726432955932</v>
      </c>
      <c r="CZ56" s="74">
        <v>28</v>
      </c>
      <c r="DA56" s="14">
        <v>0.0099644128113879</v>
      </c>
      <c r="DB56" s="56"/>
      <c r="DC56" s="55"/>
      <c r="DD56" s="56"/>
    </row>
    <row r="57" spans="1:108" ht="12.75">
      <c r="A57" s="8" t="s">
        <v>77</v>
      </c>
      <c r="B57" s="8"/>
      <c r="C57" s="43">
        <v>0</v>
      </c>
      <c r="D57" s="33">
        <f t="shared" si="33"/>
        <v>0</v>
      </c>
      <c r="E57" s="46">
        <v>0</v>
      </c>
      <c r="F57" s="33">
        <f t="shared" si="34"/>
        <v>0</v>
      </c>
      <c r="G57" s="33"/>
      <c r="H57" s="33"/>
      <c r="I57" s="75">
        <v>0</v>
      </c>
      <c r="J57" s="14">
        <f t="shared" si="35"/>
        <v>0</v>
      </c>
      <c r="K57" s="74">
        <v>0</v>
      </c>
      <c r="L57" s="14">
        <f t="shared" si="36"/>
        <v>0</v>
      </c>
      <c r="M57" s="56"/>
      <c r="N57" s="55"/>
      <c r="O57" s="56"/>
      <c r="P57" s="56"/>
      <c r="Q57" s="75">
        <v>0</v>
      </c>
      <c r="R57" s="14">
        <f t="shared" si="25"/>
        <v>0</v>
      </c>
      <c r="S57" s="74">
        <v>0</v>
      </c>
      <c r="T57" s="14">
        <f t="shared" si="26"/>
        <v>0</v>
      </c>
      <c r="U57" s="56"/>
      <c r="V57" s="55"/>
      <c r="W57" s="56"/>
      <c r="X57" s="56"/>
      <c r="Y57" s="75">
        <v>0</v>
      </c>
      <c r="Z57" s="14">
        <f t="shared" si="27"/>
        <v>0</v>
      </c>
      <c r="AA57" s="74">
        <v>0</v>
      </c>
      <c r="AB57" s="14">
        <f t="shared" si="28"/>
        <v>0</v>
      </c>
      <c r="AC57" s="56"/>
      <c r="AD57" s="55"/>
      <c r="AE57" s="56"/>
      <c r="AF57" s="75">
        <f>10075.74+4980.97+1759.3</f>
        <v>16816.01</v>
      </c>
      <c r="AG57" s="14">
        <f>+AF57/$AF61</f>
        <v>0.00087542148869821</v>
      </c>
      <c r="AH57" s="74">
        <v>18</v>
      </c>
      <c r="AI57" s="14">
        <f t="shared" si="37"/>
        <v>0.007741935483870968</v>
      </c>
      <c r="AJ57" s="56"/>
      <c r="AK57" s="55"/>
      <c r="AL57" s="56"/>
      <c r="AM57" s="75">
        <f>28115.56+20317.11+10753.11</f>
        <v>59185.78</v>
      </c>
      <c r="AN57" s="14">
        <f>+AM57/$AF61</f>
        <v>0.0030811413431226994</v>
      </c>
      <c r="AO57" s="74">
        <f>4+2+3</f>
        <v>9</v>
      </c>
      <c r="AP57" s="14">
        <f>+AO57/AO61</f>
        <v>0.0028081123244929796</v>
      </c>
      <c r="AQ57" s="56"/>
      <c r="AR57" s="55"/>
      <c r="AS57" s="56"/>
      <c r="AT57" s="75">
        <v>126856.02</v>
      </c>
      <c r="AU57" s="14">
        <f t="shared" si="29"/>
        <v>0.0041297592416567296</v>
      </c>
      <c r="AV57" s="74">
        <v>15</v>
      </c>
      <c r="AW57" s="14">
        <f t="shared" si="30"/>
        <v>0.00395882818685669</v>
      </c>
      <c r="AX57" s="56"/>
      <c r="AY57" s="55"/>
      <c r="AZ57" s="56"/>
      <c r="BA57" s="75">
        <f>168162.17+94860.98+62206.38</f>
        <v>325229.53</v>
      </c>
      <c r="BB57" s="14">
        <f t="shared" si="31"/>
        <v>0.008555779542818645</v>
      </c>
      <c r="BC57" s="74">
        <f>15+11+5</f>
        <v>31</v>
      </c>
      <c r="BD57" s="14">
        <f t="shared" si="32"/>
        <v>0.006588735387885228</v>
      </c>
      <c r="BE57" s="56"/>
      <c r="BF57" s="55"/>
      <c r="BG57" s="56"/>
      <c r="BH57" s="75">
        <f>205192.64+207948.55+126532.74</f>
        <v>539673.93</v>
      </c>
      <c r="BI57" s="14">
        <f>+BH57/BH61</f>
        <v>0.015397809746546413</v>
      </c>
      <c r="BJ57" s="74">
        <f>23+22+11</f>
        <v>56</v>
      </c>
      <c r="BK57" s="14">
        <f>+BJ57/BJ61</f>
        <v>0.013020227853987446</v>
      </c>
      <c r="BL57" s="56"/>
      <c r="BM57" s="55"/>
      <c r="BN57" s="56"/>
      <c r="BO57" s="75">
        <v>663332.2</v>
      </c>
      <c r="BP57" s="14">
        <v>0.020580100305716713</v>
      </c>
      <c r="BQ57" s="74">
        <v>64</v>
      </c>
      <c r="BR57" s="14">
        <v>0.015900621118012423</v>
      </c>
      <c r="BS57" s="56"/>
      <c r="BT57" s="55"/>
      <c r="BU57" s="56"/>
      <c r="BV57" s="75">
        <v>834151.22</v>
      </c>
      <c r="BW57" s="14">
        <v>0.02835557227830673</v>
      </c>
      <c r="BX57" s="74">
        <v>80</v>
      </c>
      <c r="BY57" s="14">
        <v>0.021085925144965736</v>
      </c>
      <c r="BZ57" s="56"/>
      <c r="CA57" s="55"/>
      <c r="CB57" s="56"/>
      <c r="CC57" s="75">
        <v>1008714.66</v>
      </c>
      <c r="CD57" s="14">
        <v>0.03716221167866392</v>
      </c>
      <c r="CE57" s="74">
        <v>93</v>
      </c>
      <c r="CF57" s="14">
        <v>0.025977653631284917</v>
      </c>
      <c r="CG57" s="56"/>
      <c r="CH57" s="55"/>
      <c r="CI57" s="56"/>
      <c r="CJ57" s="75">
        <v>1067021.27</v>
      </c>
      <c r="CK57" s="14">
        <v>0.043193582694042595</v>
      </c>
      <c r="CL57" s="74">
        <v>103</v>
      </c>
      <c r="CM57" s="14">
        <v>0.03086604734791729</v>
      </c>
      <c r="CN57" s="56"/>
      <c r="CO57" s="55"/>
      <c r="CP57" s="56"/>
      <c r="CQ57" s="75">
        <v>1087039.79</v>
      </c>
      <c r="CR57" s="14">
        <v>0.04846067472749669</v>
      </c>
      <c r="CS57" s="74">
        <v>99</v>
      </c>
      <c r="CT57" s="14">
        <v>0.032587228439763</v>
      </c>
      <c r="CU57" s="56"/>
      <c r="CV57" s="55"/>
      <c r="CW57" s="56"/>
      <c r="CX57" s="75">
        <v>899084.89</v>
      </c>
      <c r="CY57" s="14">
        <v>0.04405500257638386</v>
      </c>
      <c r="CZ57" s="74">
        <v>86</v>
      </c>
      <c r="DA57" s="14">
        <v>0.030604982206405694</v>
      </c>
      <c r="DB57" s="56"/>
      <c r="DC57" s="55"/>
      <c r="DD57" s="56"/>
    </row>
    <row r="58" spans="1:108" ht="12.75">
      <c r="A58" s="8" t="s">
        <v>78</v>
      </c>
      <c r="B58" s="8"/>
      <c r="C58" s="43">
        <v>0</v>
      </c>
      <c r="D58" s="33">
        <f t="shared" si="33"/>
        <v>0</v>
      </c>
      <c r="E58" s="46">
        <v>0</v>
      </c>
      <c r="F58" s="33">
        <f t="shared" si="34"/>
        <v>0</v>
      </c>
      <c r="G58" s="33"/>
      <c r="H58" s="33"/>
      <c r="I58" s="75">
        <v>0</v>
      </c>
      <c r="J58" s="14">
        <f t="shared" si="35"/>
        <v>0</v>
      </c>
      <c r="K58" s="74">
        <v>0</v>
      </c>
      <c r="L58" s="14">
        <f t="shared" si="36"/>
        <v>0</v>
      </c>
      <c r="M58" s="56"/>
      <c r="N58" s="55"/>
      <c r="O58" s="56"/>
      <c r="P58" s="56"/>
      <c r="Q58" s="75">
        <v>0</v>
      </c>
      <c r="R58" s="14">
        <f t="shared" si="25"/>
        <v>0</v>
      </c>
      <c r="S58" s="74">
        <v>0</v>
      </c>
      <c r="T58" s="14">
        <f t="shared" si="26"/>
        <v>0</v>
      </c>
      <c r="U58" s="56"/>
      <c r="V58" s="55"/>
      <c r="W58" s="56"/>
      <c r="X58" s="56"/>
      <c r="Y58" s="75">
        <v>0</v>
      </c>
      <c r="Z58" s="14">
        <f t="shared" si="27"/>
        <v>0</v>
      </c>
      <c r="AA58" s="74">
        <v>0</v>
      </c>
      <c r="AB58" s="14">
        <f t="shared" si="28"/>
        <v>0</v>
      </c>
      <c r="AC58" s="56"/>
      <c r="AD58" s="55"/>
      <c r="AE58" s="56"/>
      <c r="AF58" s="75">
        <v>0</v>
      </c>
      <c r="AG58" s="14">
        <f>+AF58/$AF61</f>
        <v>0</v>
      </c>
      <c r="AH58" s="74">
        <v>0</v>
      </c>
      <c r="AI58" s="14">
        <f t="shared" si="37"/>
        <v>0</v>
      </c>
      <c r="AJ58" s="56"/>
      <c r="AK58" s="55"/>
      <c r="AL58" s="56"/>
      <c r="AM58" s="75">
        <f>6978.09+4980.97+2931.39</f>
        <v>14890.45</v>
      </c>
      <c r="AN58" s="14">
        <f>+AM58/$AF61</f>
        <v>0.0007751791243217781</v>
      </c>
      <c r="AO58" s="74">
        <f>2+1+24</f>
        <v>27</v>
      </c>
      <c r="AP58" s="14">
        <f>+AO58/AO61</f>
        <v>0.008424336973478939</v>
      </c>
      <c r="AQ58" s="56"/>
      <c r="AR58" s="55"/>
      <c r="AS58" s="56"/>
      <c r="AT58" s="75">
        <f>48014.13+5248.49</f>
        <v>53262.619999999995</v>
      </c>
      <c r="AU58" s="14">
        <f t="shared" si="29"/>
        <v>0.0017339484336640115</v>
      </c>
      <c r="AV58" s="74">
        <f>7+54</f>
        <v>61</v>
      </c>
      <c r="AW58" s="14">
        <f t="shared" si="30"/>
        <v>0.01609923462655054</v>
      </c>
      <c r="AX58" s="56"/>
      <c r="AY58" s="55"/>
      <c r="AZ58" s="56"/>
      <c r="BA58" s="75">
        <f>17447.82+78535.29+23102.91+15548.86</f>
        <v>134634.88</v>
      </c>
      <c r="BB58" s="14">
        <f t="shared" si="31"/>
        <v>0.003541825836214329</v>
      </c>
      <c r="BC58" s="74">
        <f>3+8+3+76</f>
        <v>90</v>
      </c>
      <c r="BD58" s="14">
        <f t="shared" si="32"/>
        <v>0.019128586609989374</v>
      </c>
      <c r="BE58" s="56"/>
      <c r="BF58" s="55"/>
      <c r="BG58" s="56"/>
      <c r="BH58" s="75">
        <f>143089.94+80257.38+29687.84</f>
        <v>253035.16</v>
      </c>
      <c r="BI58" s="14">
        <f>+BH58/BH61</f>
        <v>0.007219520966793654</v>
      </c>
      <c r="BJ58" s="74">
        <f>14+9+2</f>
        <v>25</v>
      </c>
      <c r="BK58" s="14">
        <f>+BJ58/BJ61</f>
        <v>0.005812601720530109</v>
      </c>
      <c r="BL58" s="56"/>
      <c r="BM58" s="55"/>
      <c r="BN58" s="56"/>
      <c r="BO58" s="75">
        <v>414182.45</v>
      </c>
      <c r="BP58" s="14">
        <v>0.012850147129699873</v>
      </c>
      <c r="BQ58" s="74">
        <v>41</v>
      </c>
      <c r="BR58" s="14">
        <v>0.010186335403726708</v>
      </c>
      <c r="BS58" s="56"/>
      <c r="BT58" s="55"/>
      <c r="BU58" s="56"/>
      <c r="BV58" s="75">
        <v>557962.54</v>
      </c>
      <c r="BW58" s="14">
        <v>0.018967001129072986</v>
      </c>
      <c r="BX58" s="74">
        <v>57</v>
      </c>
      <c r="BY58" s="14">
        <v>0.015023721665788086</v>
      </c>
      <c r="BZ58" s="56"/>
      <c r="CA58" s="55"/>
      <c r="CB58" s="56"/>
      <c r="CC58" s="75">
        <v>608075.3</v>
      </c>
      <c r="CD58" s="14">
        <v>0.02240219549814719</v>
      </c>
      <c r="CE58" s="74">
        <v>61</v>
      </c>
      <c r="CF58" s="14">
        <v>0.017039106145251396</v>
      </c>
      <c r="CG58" s="56"/>
      <c r="CH58" s="55"/>
      <c r="CI58" s="56"/>
      <c r="CJ58" s="75">
        <v>902004.8</v>
      </c>
      <c r="CK58" s="14">
        <v>0.03651362912308522</v>
      </c>
      <c r="CL58" s="74">
        <v>86</v>
      </c>
      <c r="CM58" s="14">
        <v>0.02577165118369793</v>
      </c>
      <c r="CN58" s="56"/>
      <c r="CO58" s="55"/>
      <c r="CP58" s="56"/>
      <c r="CQ58" s="75">
        <v>889697.74</v>
      </c>
      <c r="CR58" s="14">
        <v>0.039663086099110435</v>
      </c>
      <c r="CS58" s="74">
        <v>86</v>
      </c>
      <c r="CT58" s="14">
        <v>0.028308097432521395</v>
      </c>
      <c r="CU58" s="56"/>
      <c r="CV58" s="55"/>
      <c r="CW58" s="56"/>
      <c r="CX58" s="75">
        <v>983705.07</v>
      </c>
      <c r="CY58" s="14">
        <v>0.04820137661667507</v>
      </c>
      <c r="CZ58" s="74">
        <v>90</v>
      </c>
      <c r="DA58" s="14">
        <v>0.03202846975088968</v>
      </c>
      <c r="DB58" s="56"/>
      <c r="DC58" s="55"/>
      <c r="DD58" s="56"/>
    </row>
    <row r="59" spans="1:108" ht="12.75">
      <c r="A59" s="8" t="s">
        <v>49</v>
      </c>
      <c r="B59" s="8"/>
      <c r="C59" s="43">
        <v>0</v>
      </c>
      <c r="D59" s="33">
        <f t="shared" si="33"/>
        <v>0</v>
      </c>
      <c r="E59" s="46">
        <v>0</v>
      </c>
      <c r="F59" s="33">
        <f t="shared" si="34"/>
        <v>0</v>
      </c>
      <c r="G59" s="33"/>
      <c r="H59" s="33"/>
      <c r="I59" s="75">
        <v>0</v>
      </c>
      <c r="J59" s="14">
        <f t="shared" si="35"/>
        <v>0</v>
      </c>
      <c r="K59" s="74">
        <v>0</v>
      </c>
      <c r="L59" s="14">
        <f t="shared" si="36"/>
        <v>0</v>
      </c>
      <c r="M59" s="56"/>
      <c r="N59" s="55"/>
      <c r="O59" s="56"/>
      <c r="P59" s="56"/>
      <c r="Q59" s="75">
        <v>0</v>
      </c>
      <c r="R59" s="14">
        <f t="shared" si="25"/>
        <v>0</v>
      </c>
      <c r="S59" s="74">
        <v>0</v>
      </c>
      <c r="T59" s="14">
        <f t="shared" si="26"/>
        <v>0</v>
      </c>
      <c r="U59" s="56"/>
      <c r="V59" s="55"/>
      <c r="W59" s="56"/>
      <c r="X59" s="56"/>
      <c r="Y59" s="75">
        <v>0</v>
      </c>
      <c r="Z59" s="14">
        <f t="shared" si="27"/>
        <v>0</v>
      </c>
      <c r="AA59" s="74">
        <v>0</v>
      </c>
      <c r="AB59" s="14">
        <f t="shared" si="28"/>
        <v>0</v>
      </c>
      <c r="AC59" s="56"/>
      <c r="AD59" s="55"/>
      <c r="AE59" s="56"/>
      <c r="AF59" s="75">
        <v>0</v>
      </c>
      <c r="AG59" s="14">
        <f>+AF59/$AF61</f>
        <v>0</v>
      </c>
      <c r="AH59" s="74">
        <v>0</v>
      </c>
      <c r="AI59" s="14">
        <f t="shared" si="37"/>
        <v>0</v>
      </c>
      <c r="AJ59" s="56"/>
      <c r="AK59" s="55"/>
      <c r="AL59" s="56"/>
      <c r="AM59" s="75">
        <v>0</v>
      </c>
      <c r="AN59" s="14">
        <f>+AM59/$AF61</f>
        <v>0</v>
      </c>
      <c r="AO59" s="74">
        <v>0</v>
      </c>
      <c r="AP59" s="14">
        <f>+AO59/AO61</f>
        <v>0</v>
      </c>
      <c r="AQ59" s="56"/>
      <c r="AR59" s="55"/>
      <c r="AS59" s="56"/>
      <c r="AT59" s="75">
        <v>13509.17</v>
      </c>
      <c r="AU59" s="14">
        <f t="shared" si="29"/>
        <v>0.00043978693052652796</v>
      </c>
      <c r="AV59" s="74">
        <v>4</v>
      </c>
      <c r="AW59" s="14">
        <f t="shared" si="30"/>
        <v>0.0010556875164951175</v>
      </c>
      <c r="AX59" s="56"/>
      <c r="AY59" s="55"/>
      <c r="AZ59" s="56"/>
      <c r="BA59" s="75">
        <v>35658.07</v>
      </c>
      <c r="BB59" s="14">
        <f t="shared" si="31"/>
        <v>0.0009380531523149058</v>
      </c>
      <c r="BC59" s="74">
        <v>8</v>
      </c>
      <c r="BD59" s="14">
        <f t="shared" si="32"/>
        <v>0.0017003188097768332</v>
      </c>
      <c r="BE59" s="56"/>
      <c r="BF59" s="55"/>
      <c r="BG59" s="56"/>
      <c r="BH59" s="75">
        <v>153193.98</v>
      </c>
      <c r="BI59" s="14">
        <f>+BH59/BH61</f>
        <v>0.0043708832819777605</v>
      </c>
      <c r="BJ59" s="74">
        <v>21</v>
      </c>
      <c r="BK59" s="14">
        <f>+BJ59/BJ61</f>
        <v>0.004882585445245292</v>
      </c>
      <c r="BL59" s="56"/>
      <c r="BM59" s="55"/>
      <c r="BN59" s="56"/>
      <c r="BO59" s="75">
        <v>351618.39</v>
      </c>
      <c r="BP59" s="14">
        <v>0.01090907653138898</v>
      </c>
      <c r="BQ59" s="74">
        <v>41</v>
      </c>
      <c r="BR59" s="14">
        <v>0.010186335403726708</v>
      </c>
      <c r="BS59" s="56"/>
      <c r="BT59" s="55"/>
      <c r="BU59" s="56"/>
      <c r="BV59" s="75">
        <v>630230.15</v>
      </c>
      <c r="BW59" s="14">
        <v>0.02142361737514823</v>
      </c>
      <c r="BX59" s="74">
        <v>68</v>
      </c>
      <c r="BY59" s="14">
        <v>0.017923036373220874</v>
      </c>
      <c r="BZ59" s="56"/>
      <c r="CA59" s="55"/>
      <c r="CB59" s="56"/>
      <c r="CC59" s="75">
        <v>1109384.99</v>
      </c>
      <c r="CD59" s="14">
        <v>0.0408710227642696</v>
      </c>
      <c r="CE59" s="74">
        <v>115</v>
      </c>
      <c r="CF59" s="14">
        <v>0.03212290502793296</v>
      </c>
      <c r="CG59" s="56"/>
      <c r="CH59" s="55"/>
      <c r="CI59" s="56"/>
      <c r="CJ59" s="75">
        <v>1316031.45</v>
      </c>
      <c r="CK59" s="14">
        <v>0.053273645860438965</v>
      </c>
      <c r="CL59" s="74">
        <v>134</v>
      </c>
      <c r="CM59" s="14">
        <v>0.04015582858855259</v>
      </c>
      <c r="CN59" s="56"/>
      <c r="CO59" s="55"/>
      <c r="CP59" s="56"/>
      <c r="CQ59" s="75">
        <v>1947428.57</v>
      </c>
      <c r="CR59" s="14">
        <v>0.08681715550247159</v>
      </c>
      <c r="CS59" s="74">
        <v>189</v>
      </c>
      <c r="CT59" s="14">
        <v>0.06221198156682028</v>
      </c>
      <c r="CU59" s="56"/>
      <c r="CV59" s="55"/>
      <c r="CW59" s="56"/>
      <c r="CX59" s="75">
        <v>2451567.23</v>
      </c>
      <c r="CY59" s="14">
        <v>0.1201263660807692</v>
      </c>
      <c r="CZ59" s="74">
        <v>238</v>
      </c>
      <c r="DA59" s="14">
        <v>0.08469750889679716</v>
      </c>
      <c r="DB59" s="56"/>
      <c r="DC59" s="55"/>
      <c r="DD59" s="56"/>
    </row>
    <row r="60" spans="1:108" ht="12.75">
      <c r="A60" s="8"/>
      <c r="B60" s="8"/>
      <c r="C60" s="43"/>
      <c r="D60" s="33"/>
      <c r="E60" s="46"/>
      <c r="F60" s="33"/>
      <c r="G60" s="33"/>
      <c r="H60" s="33"/>
      <c r="I60" s="9"/>
      <c r="J60" s="8"/>
      <c r="K60" s="10"/>
      <c r="L60" s="8"/>
      <c r="M60" s="54"/>
      <c r="N60" s="55"/>
      <c r="O60" s="54"/>
      <c r="P60" s="54"/>
      <c r="Q60" s="9"/>
      <c r="R60" s="8"/>
      <c r="S60" s="10"/>
      <c r="T60" s="8"/>
      <c r="U60" s="54"/>
      <c r="V60" s="55"/>
      <c r="W60" s="54"/>
      <c r="X60" s="54"/>
      <c r="Y60" s="9"/>
      <c r="Z60" s="8"/>
      <c r="AA60" s="10"/>
      <c r="AB60" s="8"/>
      <c r="AC60" s="54"/>
      <c r="AD60" s="55"/>
      <c r="AE60" s="54"/>
      <c r="AF60" s="9"/>
      <c r="AG60" s="8"/>
      <c r="AH60" s="10"/>
      <c r="AI60" s="8"/>
      <c r="AJ60" s="54"/>
      <c r="AK60" s="55"/>
      <c r="AL60" s="54"/>
      <c r="AM60" s="9"/>
      <c r="AN60" s="8"/>
      <c r="AO60" s="10"/>
      <c r="AP60" s="8"/>
      <c r="AQ60" s="54"/>
      <c r="AR60" s="55"/>
      <c r="AS60" s="54"/>
      <c r="AT60" s="9"/>
      <c r="AU60" s="8"/>
      <c r="AV60" s="10"/>
      <c r="AW60" s="8"/>
      <c r="AX60" s="54"/>
      <c r="AY60" s="55"/>
      <c r="AZ60" s="54"/>
      <c r="BA60" s="9"/>
      <c r="BB60" s="8"/>
      <c r="BC60" s="10"/>
      <c r="BD60" s="8"/>
      <c r="BE60" s="54"/>
      <c r="BF60" s="55"/>
      <c r="BG60" s="54"/>
      <c r="BH60" s="9"/>
      <c r="BI60" s="8"/>
      <c r="BJ60" s="10"/>
      <c r="BK60" s="8"/>
      <c r="BL60" s="54"/>
      <c r="BM60" s="55"/>
      <c r="BN60" s="54"/>
      <c r="BO60" s="9"/>
      <c r="BP60" s="8"/>
      <c r="BQ60" s="10"/>
      <c r="BR60" s="8"/>
      <c r="BS60" s="54"/>
      <c r="BT60" s="55"/>
      <c r="BU60" s="54"/>
      <c r="BV60" s="9"/>
      <c r="BW60" s="8"/>
      <c r="BX60" s="10"/>
      <c r="BY60" s="8"/>
      <c r="BZ60" s="54"/>
      <c r="CA60" s="55"/>
      <c r="CB60" s="54"/>
      <c r="CC60" s="9"/>
      <c r="CD60" s="8"/>
      <c r="CE60" s="10"/>
      <c r="CF60" s="8"/>
      <c r="CG60" s="54"/>
      <c r="CH60" s="55"/>
      <c r="CI60" s="54"/>
      <c r="CJ60" s="9"/>
      <c r="CK60" s="8"/>
      <c r="CL60" s="10"/>
      <c r="CM60" s="8"/>
      <c r="CN60" s="54"/>
      <c r="CO60" s="55"/>
      <c r="CP60" s="54"/>
      <c r="CQ60" s="9"/>
      <c r="CR60" s="8"/>
      <c r="CS60" s="10"/>
      <c r="CT60" s="8"/>
      <c r="CU60" s="54"/>
      <c r="CV60" s="55"/>
      <c r="CW60" s="54"/>
      <c r="CX60" s="9"/>
      <c r="CY60" s="8"/>
      <c r="CZ60" s="10"/>
      <c r="DA60" s="8"/>
      <c r="DB60" s="54"/>
      <c r="DC60" s="55"/>
      <c r="DD60" s="54"/>
    </row>
    <row r="61" spans="1:108" ht="13.5" thickBot="1">
      <c r="A61" s="8"/>
      <c r="B61" s="8"/>
      <c r="C61" s="78">
        <f>SUM(C51:C59)</f>
        <v>7218.91</v>
      </c>
      <c r="D61" s="33"/>
      <c r="E61" s="79">
        <f>SUM(E51:E59)</f>
        <v>2</v>
      </c>
      <c r="F61" s="8"/>
      <c r="G61" s="8"/>
      <c r="H61" s="8"/>
      <c r="I61" s="21">
        <f>SUM(I51:I59)</f>
        <v>6780.04</v>
      </c>
      <c r="J61" s="12"/>
      <c r="K61" s="22">
        <f>SUM(K51:K59)</f>
        <v>2</v>
      </c>
      <c r="L61" s="23"/>
      <c r="M61" s="53"/>
      <c r="N61" s="31"/>
      <c r="O61" s="57"/>
      <c r="P61" s="57"/>
      <c r="Q61" s="21">
        <f>SUM(Q51:Q59)</f>
        <v>3583563.94</v>
      </c>
      <c r="R61" s="12"/>
      <c r="S61" s="22">
        <f>SUM(S51:S59)</f>
        <v>455</v>
      </c>
      <c r="T61" s="23"/>
      <c r="U61" s="53"/>
      <c r="V61" s="31"/>
      <c r="W61" s="57"/>
      <c r="X61" s="57"/>
      <c r="Y61" s="21">
        <f>SUM(Y51:Y60)</f>
        <v>12872661.299999999</v>
      </c>
      <c r="Z61" s="12"/>
      <c r="AA61" s="22">
        <f>SUM(AA51:AA60)</f>
        <v>1566</v>
      </c>
      <c r="AB61" s="23"/>
      <c r="AC61" s="53"/>
      <c r="AD61" s="31"/>
      <c r="AE61" s="57"/>
      <c r="AF61" s="21">
        <f>SUM(AF51:AF60)</f>
        <v>19209044.12</v>
      </c>
      <c r="AG61" s="12"/>
      <c r="AH61" s="22">
        <f>SUM(AH51:AH60)</f>
        <v>2325</v>
      </c>
      <c r="AI61" s="23"/>
      <c r="AJ61" s="53"/>
      <c r="AK61" s="31"/>
      <c r="AL61" s="57"/>
      <c r="AM61" s="21">
        <f>SUM(AM51:AM60)</f>
        <v>26492471.990000002</v>
      </c>
      <c r="AN61" s="12"/>
      <c r="AO61" s="22">
        <f>SUM(AO51:AO60)</f>
        <v>3205</v>
      </c>
      <c r="AP61" s="23"/>
      <c r="AQ61" s="53"/>
      <c r="AR61" s="31"/>
      <c r="AS61" s="57"/>
      <c r="AT61" s="21">
        <f>SUM(AT51:AT60)</f>
        <v>30717534.020000003</v>
      </c>
      <c r="AU61" s="12"/>
      <c r="AV61" s="22">
        <f>SUM(AV51:AV60)</f>
        <v>3789</v>
      </c>
      <c r="AW61" s="23"/>
      <c r="AX61" s="53"/>
      <c r="AY61" s="31"/>
      <c r="AZ61" s="57"/>
      <c r="BA61" s="21">
        <f>SUM(BA51:BA60)</f>
        <v>38012845.980000004</v>
      </c>
      <c r="BB61" s="12"/>
      <c r="BC61" s="22">
        <f>SUM(BC51:BC60)</f>
        <v>4705</v>
      </c>
      <c r="BD61" s="23"/>
      <c r="BE61" s="53"/>
      <c r="BF61" s="31"/>
      <c r="BG61" s="57"/>
      <c r="BH61" s="21">
        <f>SUM(BH51:BH60)</f>
        <v>35048746.46999999</v>
      </c>
      <c r="BI61" s="12"/>
      <c r="BJ61" s="22">
        <f>SUM(BJ51:BJ60)</f>
        <v>4301</v>
      </c>
      <c r="BK61" s="23"/>
      <c r="BL61" s="53"/>
      <c r="BM61" s="31"/>
      <c r="BN61" s="57"/>
      <c r="BO61" s="21">
        <f>SUM(BO51:BO60)</f>
        <v>32231728.229999945</v>
      </c>
      <c r="BP61" s="12"/>
      <c r="BQ61" s="22">
        <f>SUM(BQ51:BQ60)</f>
        <v>4025</v>
      </c>
      <c r="BR61" s="23"/>
      <c r="BS61" s="53"/>
      <c r="BT61" s="31"/>
      <c r="BU61" s="57"/>
      <c r="BV61" s="21">
        <f>SUM(BV51:BV60)</f>
        <v>29417541.349999934</v>
      </c>
      <c r="BW61" s="12"/>
      <c r="BX61" s="22">
        <f>SUM(BX51:BX60)</f>
        <v>3794</v>
      </c>
      <c r="BY61" s="23"/>
      <c r="BZ61" s="53"/>
      <c r="CA61" s="31"/>
      <c r="CB61" s="57"/>
      <c r="CC61" s="21">
        <f>SUM(CC51:CC60)</f>
        <v>27143558.32000002</v>
      </c>
      <c r="CD61" s="12"/>
      <c r="CE61" s="22">
        <f>SUM(CE51:CE60)</f>
        <v>3580</v>
      </c>
      <c r="CF61" s="23"/>
      <c r="CG61" s="53"/>
      <c r="CH61" s="31"/>
      <c r="CI61" s="57"/>
      <c r="CJ61" s="21">
        <f>SUM(CJ51:CJ60)</f>
        <v>24703236.06999997</v>
      </c>
      <c r="CK61" s="12"/>
      <c r="CL61" s="22">
        <f>SUM(CL51:CL60)</f>
        <v>3337</v>
      </c>
      <c r="CM61" s="23"/>
      <c r="CN61" s="53"/>
      <c r="CO61" s="31"/>
      <c r="CP61" s="57"/>
      <c r="CQ61" s="21">
        <f>SUM(CQ51:CQ60)</f>
        <v>22431379.590000037</v>
      </c>
      <c r="CR61" s="12"/>
      <c r="CS61" s="22">
        <f>SUM(CS51:CS60)</f>
        <v>3038</v>
      </c>
      <c r="CT61" s="23"/>
      <c r="CU61" s="53"/>
      <c r="CV61" s="31"/>
      <c r="CW61" s="57"/>
      <c r="CX61" s="21">
        <f>SUM(CX51:CX60)</f>
        <v>20408236.01</v>
      </c>
      <c r="CY61" s="12"/>
      <c r="CZ61" s="22">
        <f>SUM(CZ51:CZ60)</f>
        <v>2810</v>
      </c>
      <c r="DA61" s="23"/>
      <c r="DB61" s="53"/>
      <c r="DC61" s="31"/>
      <c r="DD61" s="57"/>
    </row>
    <row r="62" spans="1:108" ht="13.5" thickTop="1">
      <c r="A62" s="8"/>
      <c r="B62" s="8"/>
      <c r="C62" s="8"/>
      <c r="D62" s="8"/>
      <c r="E62" s="46"/>
      <c r="F62" s="8"/>
      <c r="G62" s="8"/>
      <c r="H62" s="8"/>
      <c r="I62" s="8"/>
      <c r="J62" s="8"/>
      <c r="K62" s="8"/>
      <c r="L62" s="8"/>
      <c r="M62" s="54"/>
      <c r="N62" s="54"/>
      <c r="O62" s="54"/>
      <c r="P62" s="54"/>
      <c r="Q62" s="8"/>
      <c r="R62" s="8"/>
      <c r="S62" s="8"/>
      <c r="T62" s="8"/>
      <c r="U62" s="54"/>
      <c r="V62" s="54"/>
      <c r="W62" s="54"/>
      <c r="X62" s="54"/>
      <c r="Y62" s="8"/>
      <c r="Z62" s="8"/>
      <c r="AA62" s="8"/>
      <c r="AB62" s="8"/>
      <c r="AC62" s="54"/>
      <c r="AD62" s="54"/>
      <c r="AE62" s="54"/>
      <c r="AF62" s="8"/>
      <c r="AG62" s="8"/>
      <c r="AH62" s="8"/>
      <c r="AI62" s="8"/>
      <c r="AJ62" s="54"/>
      <c r="AK62" s="54"/>
      <c r="AL62" s="54"/>
      <c r="AM62" s="8"/>
      <c r="AN62" s="8"/>
      <c r="AO62" s="8"/>
      <c r="AP62" s="8"/>
      <c r="AQ62" s="54"/>
      <c r="AR62" s="54"/>
      <c r="AS62" s="54"/>
      <c r="AT62" s="8"/>
      <c r="AU62" s="8"/>
      <c r="AV62" s="8"/>
      <c r="AW62" s="8"/>
      <c r="AX62" s="54"/>
      <c r="AY62" s="54"/>
      <c r="AZ62" s="54"/>
      <c r="BA62" s="8"/>
      <c r="BB62" s="8"/>
      <c r="BC62" s="8"/>
      <c r="BD62" s="8"/>
      <c r="BE62" s="54"/>
      <c r="BF62" s="54"/>
      <c r="BG62" s="54"/>
      <c r="BH62" s="8"/>
      <c r="BI62" s="8"/>
      <c r="BJ62" s="8"/>
      <c r="BK62" s="8"/>
      <c r="BL62" s="54"/>
      <c r="BM62" s="54"/>
      <c r="BN62" s="54"/>
      <c r="BO62" s="8"/>
      <c r="BP62" s="8"/>
      <c r="BQ62" s="8"/>
      <c r="BR62" s="8"/>
      <c r="BS62" s="54"/>
      <c r="BT62" s="54"/>
      <c r="BU62" s="54"/>
      <c r="BV62" s="8"/>
      <c r="BW62" s="8"/>
      <c r="BX62" s="8"/>
      <c r="BY62" s="8"/>
      <c r="BZ62" s="54"/>
      <c r="CA62" s="54"/>
      <c r="CB62" s="54"/>
      <c r="CC62" s="8"/>
      <c r="CD62" s="8"/>
      <c r="CE62" s="8"/>
      <c r="CF62" s="8"/>
      <c r="CG62" s="54"/>
      <c r="CH62" s="54"/>
      <c r="CI62" s="54"/>
      <c r="CJ62" s="8"/>
      <c r="CK62" s="8"/>
      <c r="CL62" s="8"/>
      <c r="CM62" s="8"/>
      <c r="CN62" s="54"/>
      <c r="CO62" s="54"/>
      <c r="CP62" s="54"/>
      <c r="CQ62" s="8"/>
      <c r="CR62" s="8"/>
      <c r="CS62" s="8"/>
      <c r="CT62" s="8"/>
      <c r="CU62" s="54"/>
      <c r="CV62" s="54"/>
      <c r="CW62" s="54"/>
      <c r="CX62" s="8"/>
      <c r="CY62" s="8"/>
      <c r="CZ62" s="8"/>
      <c r="DA62" s="8"/>
      <c r="DB62" s="54"/>
      <c r="DC62" s="54"/>
      <c r="DD62" s="54"/>
    </row>
    <row r="63" spans="1:108" ht="12.75">
      <c r="A63" s="19" t="s">
        <v>136</v>
      </c>
      <c r="B63" s="8"/>
      <c r="C63" s="8"/>
      <c r="D63" s="8"/>
      <c r="E63" s="8"/>
      <c r="F63" s="8"/>
      <c r="G63" s="8"/>
      <c r="H63" s="8"/>
      <c r="I63" s="19" t="s">
        <v>136</v>
      </c>
      <c r="J63" s="8"/>
      <c r="K63" s="8"/>
      <c r="L63" s="8"/>
      <c r="M63" s="8"/>
      <c r="N63" s="8"/>
      <c r="O63" s="8"/>
      <c r="P63" s="8"/>
      <c r="Q63" s="19" t="s">
        <v>136</v>
      </c>
      <c r="R63" s="8"/>
      <c r="S63" s="8"/>
      <c r="T63" s="8"/>
      <c r="U63" s="8"/>
      <c r="V63" s="8"/>
      <c r="W63" s="8"/>
      <c r="X63" s="8"/>
      <c r="Y63" s="19" t="s">
        <v>136</v>
      </c>
      <c r="Z63" s="8"/>
      <c r="AA63" s="8"/>
      <c r="AB63" s="8"/>
      <c r="AC63" s="8"/>
      <c r="AD63" s="8"/>
      <c r="AE63" s="8"/>
      <c r="AF63" s="19" t="s">
        <v>136</v>
      </c>
      <c r="AG63" s="8"/>
      <c r="AH63" s="8"/>
      <c r="AI63" s="8"/>
      <c r="AJ63" s="8"/>
      <c r="AK63" s="8"/>
      <c r="AL63" s="8"/>
      <c r="AM63" s="19" t="s">
        <v>136</v>
      </c>
      <c r="AN63" s="8"/>
      <c r="AO63" s="8"/>
      <c r="AP63" s="8"/>
      <c r="AQ63" s="8"/>
      <c r="AR63" s="8"/>
      <c r="AS63" s="8"/>
      <c r="AT63" s="19" t="s">
        <v>136</v>
      </c>
      <c r="AU63" s="8"/>
      <c r="AV63" s="8"/>
      <c r="AW63" s="8"/>
      <c r="AX63" s="8"/>
      <c r="AY63" s="8"/>
      <c r="AZ63" s="8"/>
      <c r="BA63" s="19" t="s">
        <v>136</v>
      </c>
      <c r="BB63" s="8"/>
      <c r="BC63" s="8"/>
      <c r="BD63" s="8"/>
      <c r="BE63" s="8"/>
      <c r="BF63" s="8"/>
      <c r="BG63" s="8"/>
      <c r="BH63" s="19" t="s">
        <v>136</v>
      </c>
      <c r="BI63" s="8"/>
      <c r="BJ63" s="8"/>
      <c r="BK63" s="8"/>
      <c r="BL63" s="8"/>
      <c r="BM63" s="8"/>
      <c r="BN63" s="8"/>
      <c r="BO63" s="19" t="s">
        <v>136</v>
      </c>
      <c r="BP63" s="8"/>
      <c r="BQ63" s="8"/>
      <c r="BR63" s="8"/>
      <c r="BS63" s="8"/>
      <c r="BT63" s="8"/>
      <c r="BU63" s="8"/>
      <c r="BV63" s="19" t="s">
        <v>136</v>
      </c>
      <c r="BW63" s="8"/>
      <c r="BX63" s="8"/>
      <c r="BY63" s="8"/>
      <c r="BZ63" s="8"/>
      <c r="CA63" s="8"/>
      <c r="CB63" s="8"/>
      <c r="CC63" s="19" t="s">
        <v>136</v>
      </c>
      <c r="CD63" s="8"/>
      <c r="CE63" s="8"/>
      <c r="CF63" s="8"/>
      <c r="CG63" s="8"/>
      <c r="CH63" s="8"/>
      <c r="CI63" s="8"/>
      <c r="CJ63" s="19" t="s">
        <v>136</v>
      </c>
      <c r="CK63" s="8"/>
      <c r="CL63" s="8"/>
      <c r="CM63" s="8"/>
      <c r="CN63" s="8"/>
      <c r="CO63" s="8"/>
      <c r="CP63" s="8"/>
      <c r="CQ63" s="19" t="s">
        <v>136</v>
      </c>
      <c r="CR63" s="8"/>
      <c r="CS63" s="8"/>
      <c r="CT63" s="8"/>
      <c r="CU63" s="8"/>
      <c r="CV63" s="8"/>
      <c r="CW63" s="8"/>
      <c r="CX63" s="19" t="s">
        <v>136</v>
      </c>
      <c r="CY63" s="8"/>
      <c r="CZ63" s="8"/>
      <c r="DA63" s="8"/>
      <c r="DB63" s="8"/>
      <c r="DC63" s="8"/>
      <c r="DD63" s="8"/>
    </row>
    <row r="64" spans="1:108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</row>
    <row r="65" spans="1:108" ht="12.75">
      <c r="A65" s="8" t="s">
        <v>131</v>
      </c>
      <c r="B65" s="8"/>
      <c r="C65" s="8"/>
      <c r="D65" s="8"/>
      <c r="E65" s="8"/>
      <c r="F65" s="8"/>
      <c r="G65" s="8"/>
      <c r="H65" s="8"/>
      <c r="I65" s="8" t="s">
        <v>131</v>
      </c>
      <c r="J65" s="8"/>
      <c r="K65" s="8"/>
      <c r="L65" s="9"/>
      <c r="M65" s="8"/>
      <c r="N65" s="10"/>
      <c r="O65" s="8"/>
      <c r="P65" s="8"/>
      <c r="Q65" s="8" t="s">
        <v>131</v>
      </c>
      <c r="R65" s="8"/>
      <c r="S65" s="8"/>
      <c r="T65" s="9"/>
      <c r="U65" s="8"/>
      <c r="V65" s="10"/>
      <c r="W65" s="8"/>
      <c r="X65" s="8"/>
      <c r="Y65" s="8" t="s">
        <v>131</v>
      </c>
      <c r="Z65" s="8"/>
      <c r="AA65" s="8"/>
      <c r="AB65" s="9"/>
      <c r="AC65" s="8"/>
      <c r="AD65" s="10"/>
      <c r="AE65" s="8"/>
      <c r="AF65" s="8" t="s">
        <v>131</v>
      </c>
      <c r="AG65" s="8"/>
      <c r="AH65" s="8"/>
      <c r="AI65" s="9"/>
      <c r="AJ65" s="8"/>
      <c r="AK65" s="10"/>
      <c r="AL65" s="8"/>
      <c r="AM65" s="8" t="s">
        <v>131</v>
      </c>
      <c r="AN65" s="8"/>
      <c r="AO65" s="8"/>
      <c r="AP65" s="9"/>
      <c r="AQ65" s="8"/>
      <c r="AR65" s="10"/>
      <c r="AS65" s="8"/>
      <c r="AT65" s="8" t="s">
        <v>131</v>
      </c>
      <c r="AU65" s="8"/>
      <c r="AV65" s="8"/>
      <c r="AW65" s="9"/>
      <c r="AX65" s="8"/>
      <c r="AY65" s="10"/>
      <c r="AZ65" s="8"/>
      <c r="BA65" s="8" t="s">
        <v>131</v>
      </c>
      <c r="BB65" s="8"/>
      <c r="BC65" s="8"/>
      <c r="BD65" s="9"/>
      <c r="BE65" s="8"/>
      <c r="BF65" s="10"/>
      <c r="BG65" s="8"/>
      <c r="BH65" s="8" t="s">
        <v>131</v>
      </c>
      <c r="BI65" s="8"/>
      <c r="BJ65" s="8"/>
      <c r="BK65" s="9"/>
      <c r="BL65" s="8"/>
      <c r="BM65" s="10"/>
      <c r="BN65" s="8"/>
      <c r="BO65" s="8" t="s">
        <v>131</v>
      </c>
      <c r="BP65" s="8"/>
      <c r="BQ65" s="8"/>
      <c r="BR65" s="9"/>
      <c r="BS65" s="8"/>
      <c r="BT65" s="10"/>
      <c r="BU65" s="8"/>
      <c r="BV65" s="8" t="s">
        <v>131</v>
      </c>
      <c r="BW65" s="8"/>
      <c r="BX65" s="8"/>
      <c r="BY65" s="9"/>
      <c r="BZ65" s="8"/>
      <c r="CA65" s="10"/>
      <c r="CB65" s="8"/>
      <c r="CC65" s="8" t="s">
        <v>131</v>
      </c>
      <c r="CD65" s="8"/>
      <c r="CE65" s="8"/>
      <c r="CF65" s="9"/>
      <c r="CG65" s="8"/>
      <c r="CH65" s="10"/>
      <c r="CI65" s="8"/>
      <c r="CJ65" s="8" t="s">
        <v>131</v>
      </c>
      <c r="CK65" s="8"/>
      <c r="CL65" s="8"/>
      <c r="CM65" s="9"/>
      <c r="CN65" s="8"/>
      <c r="CO65" s="10"/>
      <c r="CP65" s="8"/>
      <c r="CQ65" s="8" t="s">
        <v>131</v>
      </c>
      <c r="CR65" s="8"/>
      <c r="CS65" s="8"/>
      <c r="CT65" s="9"/>
      <c r="CU65" s="8"/>
      <c r="CV65" s="10"/>
      <c r="CW65" s="8"/>
      <c r="CX65" s="8" t="s">
        <v>131</v>
      </c>
      <c r="CY65" s="8"/>
      <c r="CZ65" s="8"/>
      <c r="DA65" s="9"/>
      <c r="DB65" s="8"/>
      <c r="DC65" s="10"/>
      <c r="DD65" s="8"/>
    </row>
    <row r="66" spans="1:108" ht="12.75">
      <c r="A66" s="8"/>
      <c r="B66" s="8"/>
      <c r="C66" s="8"/>
      <c r="D66" s="8"/>
      <c r="E66" s="8"/>
      <c r="F66" s="8"/>
      <c r="G66" s="8"/>
      <c r="H66" s="8"/>
      <c r="I66" s="19"/>
      <c r="J66" s="8"/>
      <c r="K66" s="8"/>
      <c r="L66" s="9"/>
      <c r="M66" s="8"/>
      <c r="N66" s="10"/>
      <c r="O66" s="8"/>
      <c r="P66" s="8"/>
      <c r="Q66" s="19"/>
      <c r="R66" s="8"/>
      <c r="S66" s="8"/>
      <c r="T66" s="9"/>
      <c r="U66" s="8"/>
      <c r="V66" s="10"/>
      <c r="W66" s="8"/>
      <c r="X66" s="8"/>
      <c r="Y66" s="19"/>
      <c r="Z66" s="8"/>
      <c r="AA66" s="8"/>
      <c r="AB66" s="9"/>
      <c r="AC66" s="8"/>
      <c r="AD66" s="10"/>
      <c r="AE66" s="8"/>
      <c r="AF66" s="19"/>
      <c r="AG66" s="8"/>
      <c r="AH66" s="8"/>
      <c r="AI66" s="9"/>
      <c r="AJ66" s="8"/>
      <c r="AK66" s="10"/>
      <c r="AL66" s="8"/>
      <c r="AM66" s="19"/>
      <c r="AN66" s="8"/>
      <c r="AO66" s="8"/>
      <c r="AP66" s="9"/>
      <c r="AQ66" s="8"/>
      <c r="AR66" s="10"/>
      <c r="AS66" s="8"/>
      <c r="AT66" s="19"/>
      <c r="AU66" s="8"/>
      <c r="AV66" s="8"/>
      <c r="AW66" s="9"/>
      <c r="AX66" s="8"/>
      <c r="AY66" s="10"/>
      <c r="AZ66" s="8"/>
      <c r="BA66" s="19"/>
      <c r="BB66" s="8"/>
      <c r="BC66" s="8"/>
      <c r="BD66" s="9"/>
      <c r="BE66" s="8"/>
      <c r="BF66" s="10"/>
      <c r="BG66" s="8"/>
      <c r="BH66" s="19"/>
      <c r="BI66" s="8"/>
      <c r="BJ66" s="8"/>
      <c r="BK66" s="9"/>
      <c r="BL66" s="8"/>
      <c r="BM66" s="10"/>
      <c r="BN66" s="8"/>
      <c r="BO66" s="19"/>
      <c r="BP66" s="8"/>
      <c r="BQ66" s="8"/>
      <c r="BR66" s="9"/>
      <c r="BS66" s="8"/>
      <c r="BT66" s="10"/>
      <c r="BU66" s="8"/>
      <c r="BV66" s="19"/>
      <c r="BW66" s="8"/>
      <c r="BX66" s="8"/>
      <c r="BY66" s="9"/>
      <c r="BZ66" s="8"/>
      <c r="CA66" s="10"/>
      <c r="CB66" s="8"/>
      <c r="CC66" s="19"/>
      <c r="CD66" s="8"/>
      <c r="CE66" s="8"/>
      <c r="CF66" s="9"/>
      <c r="CG66" s="8"/>
      <c r="CH66" s="10"/>
      <c r="CI66" s="8"/>
      <c r="CJ66" s="19"/>
      <c r="CK66" s="8"/>
      <c r="CL66" s="8"/>
      <c r="CM66" s="9"/>
      <c r="CN66" s="8"/>
      <c r="CO66" s="10"/>
      <c r="CP66" s="8"/>
      <c r="CQ66" s="19"/>
      <c r="CR66" s="8"/>
      <c r="CS66" s="8"/>
      <c r="CT66" s="9"/>
      <c r="CU66" s="8"/>
      <c r="CV66" s="10"/>
      <c r="CW66" s="8"/>
      <c r="CX66" s="19"/>
      <c r="CY66" s="8"/>
      <c r="CZ66" s="8"/>
      <c r="DA66" s="9"/>
      <c r="DB66" s="8"/>
      <c r="DC66" s="10"/>
      <c r="DD66" s="8"/>
    </row>
    <row r="67" spans="1:108" s="45" customFormat="1" ht="12.75">
      <c r="A67" s="26"/>
      <c r="B67" s="26"/>
      <c r="C67" s="26" t="s">
        <v>99</v>
      </c>
      <c r="D67" s="26" t="s">
        <v>100</v>
      </c>
      <c r="E67" s="26" t="s">
        <v>101</v>
      </c>
      <c r="F67" s="26" t="s">
        <v>100</v>
      </c>
      <c r="G67" s="26"/>
      <c r="H67" s="26"/>
      <c r="I67" s="26" t="s">
        <v>99</v>
      </c>
      <c r="J67" s="44" t="s">
        <v>100</v>
      </c>
      <c r="K67" s="26" t="s">
        <v>101</v>
      </c>
      <c r="L67" s="26" t="s">
        <v>100</v>
      </c>
      <c r="M67" s="72"/>
      <c r="N67" s="64"/>
      <c r="O67" s="64"/>
      <c r="P67" s="64"/>
      <c r="Q67" s="26" t="s">
        <v>99</v>
      </c>
      <c r="R67" s="44" t="s">
        <v>100</v>
      </c>
      <c r="S67" s="26" t="s">
        <v>101</v>
      </c>
      <c r="T67" s="26" t="s">
        <v>100</v>
      </c>
      <c r="U67" s="72"/>
      <c r="V67" s="64"/>
      <c r="W67" s="64"/>
      <c r="X67" s="64"/>
      <c r="Y67" s="26" t="s">
        <v>99</v>
      </c>
      <c r="Z67" s="44" t="s">
        <v>100</v>
      </c>
      <c r="AA67" s="26" t="s">
        <v>101</v>
      </c>
      <c r="AB67" s="26" t="s">
        <v>100</v>
      </c>
      <c r="AC67" s="72"/>
      <c r="AD67" s="64"/>
      <c r="AE67" s="64"/>
      <c r="AF67" s="26" t="s">
        <v>99</v>
      </c>
      <c r="AG67" s="44" t="s">
        <v>100</v>
      </c>
      <c r="AH67" s="26" t="s">
        <v>101</v>
      </c>
      <c r="AI67" s="26" t="s">
        <v>100</v>
      </c>
      <c r="AJ67" s="72"/>
      <c r="AK67" s="64"/>
      <c r="AL67" s="64"/>
      <c r="AM67" s="26" t="s">
        <v>99</v>
      </c>
      <c r="AN67" s="44" t="s">
        <v>100</v>
      </c>
      <c r="AO67" s="26" t="s">
        <v>101</v>
      </c>
      <c r="AP67" s="26" t="s">
        <v>100</v>
      </c>
      <c r="AQ67" s="72"/>
      <c r="AR67" s="64"/>
      <c r="AS67" s="64"/>
      <c r="AT67" s="26" t="s">
        <v>99</v>
      </c>
      <c r="AU67" s="44" t="s">
        <v>100</v>
      </c>
      <c r="AV67" s="26" t="s">
        <v>101</v>
      </c>
      <c r="AW67" s="26" t="s">
        <v>100</v>
      </c>
      <c r="AX67" s="72"/>
      <c r="AY67" s="64"/>
      <c r="AZ67" s="64"/>
      <c r="BA67" s="26" t="s">
        <v>99</v>
      </c>
      <c r="BB67" s="44" t="s">
        <v>100</v>
      </c>
      <c r="BC67" s="26" t="s">
        <v>101</v>
      </c>
      <c r="BD67" s="26" t="s">
        <v>100</v>
      </c>
      <c r="BE67" s="72"/>
      <c r="BF67" s="64"/>
      <c r="BG67" s="64"/>
      <c r="BH67" s="44" t="s">
        <v>99</v>
      </c>
      <c r="BI67" s="44" t="s">
        <v>100</v>
      </c>
      <c r="BJ67" s="44" t="s">
        <v>101</v>
      </c>
      <c r="BK67" s="44" t="s">
        <v>100</v>
      </c>
      <c r="BL67" s="72"/>
      <c r="BM67" s="64"/>
      <c r="BN67" s="64"/>
      <c r="BO67" s="44" t="s">
        <v>99</v>
      </c>
      <c r="BP67" s="44" t="s">
        <v>100</v>
      </c>
      <c r="BQ67" s="44" t="s">
        <v>101</v>
      </c>
      <c r="BR67" s="44" t="s">
        <v>100</v>
      </c>
      <c r="BS67" s="72"/>
      <c r="BT67" s="64"/>
      <c r="BU67" s="64"/>
      <c r="BV67" s="44" t="s">
        <v>99</v>
      </c>
      <c r="BW67" s="44" t="s">
        <v>100</v>
      </c>
      <c r="BX67" s="44" t="s">
        <v>101</v>
      </c>
      <c r="BY67" s="44" t="s">
        <v>100</v>
      </c>
      <c r="BZ67" s="72"/>
      <c r="CA67" s="64"/>
      <c r="CB67" s="64"/>
      <c r="CC67" s="44" t="s">
        <v>99</v>
      </c>
      <c r="CD67" s="44" t="s">
        <v>100</v>
      </c>
      <c r="CE67" s="44" t="s">
        <v>101</v>
      </c>
      <c r="CF67" s="44" t="s">
        <v>100</v>
      </c>
      <c r="CG67" s="72"/>
      <c r="CH67" s="64"/>
      <c r="CI67" s="64"/>
      <c r="CJ67" s="44" t="s">
        <v>99</v>
      </c>
      <c r="CK67" s="44" t="s">
        <v>100</v>
      </c>
      <c r="CL67" s="44" t="s">
        <v>101</v>
      </c>
      <c r="CM67" s="44" t="s">
        <v>100</v>
      </c>
      <c r="CN67" s="72"/>
      <c r="CO67" s="64"/>
      <c r="CP67" s="64"/>
      <c r="CQ67" s="44" t="s">
        <v>99</v>
      </c>
      <c r="CR67" s="44" t="s">
        <v>100</v>
      </c>
      <c r="CS67" s="44" t="s">
        <v>101</v>
      </c>
      <c r="CT67" s="44" t="s">
        <v>100</v>
      </c>
      <c r="CU67" s="72"/>
      <c r="CV67" s="64"/>
      <c r="CW67" s="64"/>
      <c r="CX67" s="44" t="s">
        <v>99</v>
      </c>
      <c r="CY67" s="44" t="s">
        <v>100</v>
      </c>
      <c r="CZ67" s="44" t="s">
        <v>101</v>
      </c>
      <c r="DA67" s="44" t="s">
        <v>100</v>
      </c>
      <c r="DB67" s="72"/>
      <c r="DC67" s="64"/>
      <c r="DD67" s="64"/>
    </row>
    <row r="68" spans="1:108" ht="12.75">
      <c r="A68" s="8"/>
      <c r="B68" s="8"/>
      <c r="C68" s="8"/>
      <c r="D68" s="8"/>
      <c r="E68" s="8"/>
      <c r="F68" s="8"/>
      <c r="G68" s="8"/>
      <c r="H68" s="8"/>
      <c r="I68" s="9"/>
      <c r="J68" s="8"/>
      <c r="K68" s="10"/>
      <c r="L68" s="8"/>
      <c r="M68" s="54"/>
      <c r="N68" s="55"/>
      <c r="O68" s="54"/>
      <c r="P68" s="54"/>
      <c r="Q68" s="9"/>
      <c r="R68" s="8"/>
      <c r="S68" s="10"/>
      <c r="T68" s="8"/>
      <c r="U68" s="54"/>
      <c r="V68" s="55"/>
      <c r="W68" s="54"/>
      <c r="X68" s="54"/>
      <c r="Y68" s="9"/>
      <c r="Z68" s="8"/>
      <c r="AA68" s="10"/>
      <c r="AB68" s="8"/>
      <c r="AC68" s="54"/>
      <c r="AD68" s="55"/>
      <c r="AE68" s="54"/>
      <c r="AF68" s="9"/>
      <c r="AG68" s="8"/>
      <c r="AH68" s="10"/>
      <c r="AI68" s="8"/>
      <c r="AJ68" s="54"/>
      <c r="AK68" s="55"/>
      <c r="AL68" s="54"/>
      <c r="AM68" s="9"/>
      <c r="AN68" s="8"/>
      <c r="AO68" s="10"/>
      <c r="AP68" s="8"/>
      <c r="AQ68" s="54"/>
      <c r="AR68" s="55"/>
      <c r="AS68" s="54"/>
      <c r="AT68" s="9"/>
      <c r="AU68" s="8"/>
      <c r="AV68" s="10"/>
      <c r="AW68" s="8"/>
      <c r="AX68" s="54"/>
      <c r="AY68" s="55"/>
      <c r="AZ68" s="54"/>
      <c r="BA68" s="9"/>
      <c r="BB68" s="8"/>
      <c r="BC68" s="10"/>
      <c r="BD68" s="8"/>
      <c r="BE68" s="54"/>
      <c r="BF68" s="55"/>
      <c r="BG68" s="54"/>
      <c r="BH68" s="9"/>
      <c r="BI68" s="8"/>
      <c r="BJ68" s="10"/>
      <c r="BK68" s="8"/>
      <c r="BL68" s="54"/>
      <c r="BM68" s="55"/>
      <c r="BN68" s="54"/>
      <c r="BO68" s="9"/>
      <c r="BP68" s="8"/>
      <c r="BQ68" s="10"/>
      <c r="BR68" s="8"/>
      <c r="BS68" s="54"/>
      <c r="BT68" s="55"/>
      <c r="BU68" s="54"/>
      <c r="BV68" s="9"/>
      <c r="BW68" s="8"/>
      <c r="BX68" s="10"/>
      <c r="BY68" s="8"/>
      <c r="BZ68" s="54"/>
      <c r="CA68" s="55"/>
      <c r="CB68" s="54"/>
      <c r="CC68" s="9"/>
      <c r="CD68" s="8"/>
      <c r="CE68" s="10"/>
      <c r="CF68" s="8"/>
      <c r="CG68" s="54"/>
      <c r="CH68" s="55"/>
      <c r="CI68" s="54"/>
      <c r="CJ68" s="9"/>
      <c r="CK68" s="8"/>
      <c r="CL68" s="10"/>
      <c r="CM68" s="8"/>
      <c r="CN68" s="54"/>
      <c r="CO68" s="55"/>
      <c r="CP68" s="54"/>
      <c r="CQ68" s="9"/>
      <c r="CR68" s="8"/>
      <c r="CS68" s="10"/>
      <c r="CT68" s="8"/>
      <c r="CU68" s="54"/>
      <c r="CV68" s="55"/>
      <c r="CW68" s="54"/>
      <c r="CX68" s="9"/>
      <c r="CY68" s="8"/>
      <c r="CZ68" s="10"/>
      <c r="DA68" s="8"/>
      <c r="DB68" s="54"/>
      <c r="DC68" s="55"/>
      <c r="DD68" s="54"/>
    </row>
    <row r="69" spans="1:108" ht="12.75">
      <c r="A69" s="8" t="s">
        <v>43</v>
      </c>
      <c r="B69" s="8"/>
      <c r="C69" s="43">
        <v>8913867.06</v>
      </c>
      <c r="D69" s="33">
        <f>+C69/C79</f>
        <v>0.9942586894859777</v>
      </c>
      <c r="E69" s="46">
        <v>8419</v>
      </c>
      <c r="F69" s="33">
        <f>+E69/E79</f>
        <v>0.9949184589931458</v>
      </c>
      <c r="G69" s="8"/>
      <c r="H69" s="8"/>
      <c r="I69" s="75">
        <v>6620950.36</v>
      </c>
      <c r="J69" s="14">
        <f>+I69/I79</f>
        <v>0.97028264302032</v>
      </c>
      <c r="K69" s="74">
        <v>7993</v>
      </c>
      <c r="L69" s="14">
        <f>+K69/K79</f>
        <v>0.9774978598508011</v>
      </c>
      <c r="M69" s="56"/>
      <c r="N69" s="55"/>
      <c r="O69" s="56"/>
      <c r="P69" s="56"/>
      <c r="Q69" s="75">
        <v>22022926.090000387</v>
      </c>
      <c r="R69" s="14">
        <f>+Q69/$Q$79</f>
        <v>0.9787941450151966</v>
      </c>
      <c r="S69" s="74">
        <v>24152</v>
      </c>
      <c r="T69" s="14">
        <f>+S69/$S$79</f>
        <v>0.9844698976888273</v>
      </c>
      <c r="U69" s="56"/>
      <c r="V69" s="55"/>
      <c r="W69" s="63"/>
      <c r="X69" s="63"/>
      <c r="Y69" s="75">
        <v>23560719.82999996</v>
      </c>
      <c r="Z69" s="14">
        <v>0.9690801199002744</v>
      </c>
      <c r="AA69" s="74">
        <v>26684</v>
      </c>
      <c r="AB69" s="14">
        <v>0.9765416285452881</v>
      </c>
      <c r="AC69" s="56"/>
      <c r="AD69" s="55"/>
      <c r="AE69" s="63"/>
      <c r="AF69" s="75">
        <v>20944478.54999991</v>
      </c>
      <c r="AG69" s="14">
        <v>0.950538879216415</v>
      </c>
      <c r="AH69" s="74">
        <v>24723</v>
      </c>
      <c r="AI69" s="14">
        <v>0.9651012999180232</v>
      </c>
      <c r="AJ69" s="56"/>
      <c r="AK69" s="55"/>
      <c r="AL69" s="63"/>
      <c r="AM69" s="75">
        <v>21699285.220000364</v>
      </c>
      <c r="AN69" s="14">
        <v>0.9449426472467265</v>
      </c>
      <c r="AO69" s="74">
        <v>25900</v>
      </c>
      <c r="AP69" s="14">
        <v>0.9628610729023384</v>
      </c>
      <c r="AQ69" s="56"/>
      <c r="AR69" s="55"/>
      <c r="AS69" s="85"/>
      <c r="AT69" s="75">
        <v>21106876.100000143</v>
      </c>
      <c r="AU69" s="14">
        <v>0.932713442928577</v>
      </c>
      <c r="AV69" s="74">
        <v>24920</v>
      </c>
      <c r="AW69" s="14">
        <v>0.9566218809980807</v>
      </c>
      <c r="AX69" s="56"/>
      <c r="AY69" s="55"/>
      <c r="AZ69" s="85"/>
      <c r="BA69" s="75">
        <v>21432381.36</v>
      </c>
      <c r="BB69" s="14">
        <f>+BA69/$BA$79</f>
        <v>0.9318603233379609</v>
      </c>
      <c r="BC69" s="74">
        <v>26258</v>
      </c>
      <c r="BD69" s="14">
        <f>+BC69/$BC$79</f>
        <v>0.9573079587298116</v>
      </c>
      <c r="BE69" s="56"/>
      <c r="BF69" s="55"/>
      <c r="BG69" s="85"/>
      <c r="BH69" s="75">
        <v>21372796.130000126</v>
      </c>
      <c r="BI69" s="14">
        <v>0.923325488455097</v>
      </c>
      <c r="BJ69" s="74">
        <v>26017</v>
      </c>
      <c r="BK69" s="14">
        <v>0.9511570942858187</v>
      </c>
      <c r="BL69" s="56"/>
      <c r="BM69" s="55"/>
      <c r="BN69" s="85"/>
      <c r="BO69" s="75">
        <v>18637124.510000017</v>
      </c>
      <c r="BP69" s="14">
        <v>0.9091756723357843</v>
      </c>
      <c r="BQ69" s="74">
        <v>23011</v>
      </c>
      <c r="BR69" s="14">
        <v>0.9427260436724159</v>
      </c>
      <c r="BS69" s="56"/>
      <c r="BT69" s="55"/>
      <c r="BU69" s="85"/>
      <c r="BV69" s="75">
        <v>17480287.81000009</v>
      </c>
      <c r="BW69" s="14">
        <v>0.9026130830922385</v>
      </c>
      <c r="BX69" s="74">
        <v>21922</v>
      </c>
      <c r="BY69" s="14">
        <v>0.9401724063987649</v>
      </c>
      <c r="BZ69" s="56"/>
      <c r="CA69" s="55"/>
      <c r="CB69" s="85"/>
      <c r="CC69" s="75">
        <v>19160729.77000022</v>
      </c>
      <c r="CD69" s="14">
        <v>0.9071119102731998</v>
      </c>
      <c r="CE69" s="74">
        <v>22877</v>
      </c>
      <c r="CF69" s="14">
        <v>0.9402794903411427</v>
      </c>
      <c r="CG69" s="56"/>
      <c r="CH69" s="55"/>
      <c r="CI69" s="85"/>
      <c r="CJ69" s="75">
        <v>12716303.230000054</v>
      </c>
      <c r="CK69" s="14">
        <v>0.8595958203421687</v>
      </c>
      <c r="CL69" s="74">
        <v>16992</v>
      </c>
      <c r="CM69" s="14">
        <v>0.9184864864864865</v>
      </c>
      <c r="CN69" s="56"/>
      <c r="CO69" s="55"/>
      <c r="CP69" s="85"/>
      <c r="CQ69" s="75">
        <v>8454600.420000007</v>
      </c>
      <c r="CR69" s="14">
        <v>0.796646134826754</v>
      </c>
      <c r="CS69" s="74">
        <v>12204</v>
      </c>
      <c r="CT69" s="14">
        <v>0.884860788863109</v>
      </c>
      <c r="CU69" s="56"/>
      <c r="CV69" s="55"/>
      <c r="CW69" s="85"/>
      <c r="CX69" s="75">
        <v>8974869.460000027</v>
      </c>
      <c r="CY69" s="14">
        <v>0.8032114480640852</v>
      </c>
      <c r="CZ69" s="74">
        <v>11593</v>
      </c>
      <c r="DA69" s="14">
        <v>0.8779915177219024</v>
      </c>
      <c r="DB69" s="56"/>
      <c r="DC69" s="55"/>
      <c r="DD69" s="85"/>
    </row>
    <row r="70" spans="1:108" ht="12.75">
      <c r="A70" s="8" t="s">
        <v>44</v>
      </c>
      <c r="B70" s="8"/>
      <c r="C70" s="43">
        <v>51472.8</v>
      </c>
      <c r="D70" s="33">
        <f>+C70/$C$79</f>
        <v>0.005741310514022164</v>
      </c>
      <c r="E70" s="46">
        <v>43</v>
      </c>
      <c r="F70" s="33">
        <f>+E70/$E$79</f>
        <v>0.005081541006854172</v>
      </c>
      <c r="G70" s="8"/>
      <c r="H70" s="8"/>
      <c r="I70" s="75">
        <v>66530.34</v>
      </c>
      <c r="J70" s="14">
        <f>+I70/$I$79</f>
        <v>0.00974984415020452</v>
      </c>
      <c r="K70" s="74">
        <v>61</v>
      </c>
      <c r="L70" s="14">
        <f>+K70/$K$79</f>
        <v>0.007459948636419225</v>
      </c>
      <c r="M70" s="56"/>
      <c r="N70" s="55"/>
      <c r="O70" s="56"/>
      <c r="P70" s="56"/>
      <c r="Q70" s="75">
        <v>188054.69</v>
      </c>
      <c r="R70" s="14">
        <f aca="true" t="shared" si="38" ref="R70:R77">+Q70/$Q$79</f>
        <v>0.008357964276065215</v>
      </c>
      <c r="S70" s="74">
        <v>146</v>
      </c>
      <c r="T70" s="14">
        <f aca="true" t="shared" si="39" ref="T70:T77">+S70/$S$79</f>
        <v>0.005951167814780092</v>
      </c>
      <c r="U70" s="56"/>
      <c r="V70" s="55"/>
      <c r="W70" s="63"/>
      <c r="X70" s="63"/>
      <c r="Y70" s="75">
        <v>180674.49</v>
      </c>
      <c r="Z70" s="14">
        <v>0.007431354292035702</v>
      </c>
      <c r="AA70" s="74">
        <v>171</v>
      </c>
      <c r="AB70" s="14">
        <v>0.0062580054894785</v>
      </c>
      <c r="AC70" s="56"/>
      <c r="AD70" s="55"/>
      <c r="AE70" s="63"/>
      <c r="AF70" s="75">
        <v>225816.33</v>
      </c>
      <c r="AG70" s="14">
        <v>0.010248390797342861</v>
      </c>
      <c r="AH70" s="74">
        <v>200</v>
      </c>
      <c r="AI70" s="14">
        <v>0.007807315454580943</v>
      </c>
      <c r="AJ70" s="56"/>
      <c r="AK70" s="55"/>
      <c r="AL70" s="63"/>
      <c r="AM70" s="75">
        <v>187877.03</v>
      </c>
      <c r="AN70" s="14">
        <v>0.008181514565347037</v>
      </c>
      <c r="AO70" s="74">
        <v>186</v>
      </c>
      <c r="AP70" s="14">
        <v>0.006914755195360422</v>
      </c>
      <c r="AQ70" s="56"/>
      <c r="AR70" s="55"/>
      <c r="AS70" s="86"/>
      <c r="AT70" s="75">
        <v>226277.23</v>
      </c>
      <c r="AU70" s="14">
        <v>0.009999197098126711</v>
      </c>
      <c r="AV70" s="74">
        <v>184</v>
      </c>
      <c r="AW70" s="14">
        <v>0.0070633397312859884</v>
      </c>
      <c r="AX70" s="56"/>
      <c r="AY70" s="55"/>
      <c r="AZ70" s="86"/>
      <c r="BA70" s="75">
        <v>176847.42</v>
      </c>
      <c r="BB70" s="14">
        <f aca="true" t="shared" si="40" ref="BB70:BB77">+BA70/$BA$79</f>
        <v>0.007689163943781383</v>
      </c>
      <c r="BC70" s="74">
        <v>162</v>
      </c>
      <c r="BD70" s="14">
        <f aca="true" t="shared" si="41" ref="BD70:BD77">+BC70/$BC$79</f>
        <v>0.005906157716285683</v>
      </c>
      <c r="BE70" s="56"/>
      <c r="BF70" s="55"/>
      <c r="BG70" s="86"/>
      <c r="BH70" s="75">
        <v>184590.81</v>
      </c>
      <c r="BI70" s="14">
        <v>0.007974501734395716</v>
      </c>
      <c r="BJ70" s="74">
        <v>188</v>
      </c>
      <c r="BK70" s="14">
        <v>0.0068731034987021536</v>
      </c>
      <c r="BL70" s="56"/>
      <c r="BM70" s="55"/>
      <c r="BN70" s="86"/>
      <c r="BO70" s="75">
        <v>151507.23</v>
      </c>
      <c r="BP70" s="14">
        <v>0.007390983927003992</v>
      </c>
      <c r="BQ70" s="74">
        <v>157</v>
      </c>
      <c r="BR70" s="14">
        <v>0.006432053750665738</v>
      </c>
      <c r="BS70" s="56"/>
      <c r="BT70" s="55"/>
      <c r="BU70" s="86"/>
      <c r="BV70" s="75">
        <v>115629.31</v>
      </c>
      <c r="BW70" s="14">
        <v>0.005970641280586997</v>
      </c>
      <c r="BX70" s="74">
        <v>129</v>
      </c>
      <c r="BY70" s="14">
        <v>0.005532444139469057</v>
      </c>
      <c r="BZ70" s="56"/>
      <c r="CA70" s="55"/>
      <c r="CB70" s="86"/>
      <c r="CC70" s="75">
        <v>123530.88</v>
      </c>
      <c r="CD70" s="14">
        <v>0.005848228845123374</v>
      </c>
      <c r="CE70" s="74">
        <v>140</v>
      </c>
      <c r="CF70" s="14">
        <v>0.005754212905877518</v>
      </c>
      <c r="CG70" s="56"/>
      <c r="CH70" s="55"/>
      <c r="CI70" s="86"/>
      <c r="CJ70" s="75">
        <v>125513.85</v>
      </c>
      <c r="CK70" s="14">
        <v>0.008484476887946422</v>
      </c>
      <c r="CL70" s="74">
        <v>125</v>
      </c>
      <c r="CM70" s="14">
        <v>0.006756756756756757</v>
      </c>
      <c r="CN70" s="56"/>
      <c r="CO70" s="55"/>
      <c r="CP70" s="86"/>
      <c r="CQ70" s="75">
        <v>99858.12</v>
      </c>
      <c r="CR70" s="14">
        <v>0.009409266124615515</v>
      </c>
      <c r="CS70" s="74">
        <v>124</v>
      </c>
      <c r="CT70" s="14">
        <v>0.008990719257540603</v>
      </c>
      <c r="CU70" s="56"/>
      <c r="CV70" s="55"/>
      <c r="CW70" s="86"/>
      <c r="CX70" s="75">
        <v>93535.96</v>
      </c>
      <c r="CY70" s="14">
        <v>0.00837105812095724</v>
      </c>
      <c r="CZ70" s="74">
        <v>112</v>
      </c>
      <c r="DA70" s="14">
        <v>0.008482278097546198</v>
      </c>
      <c r="DB70" s="56"/>
      <c r="DC70" s="55"/>
      <c r="DD70" s="86"/>
    </row>
    <row r="71" spans="1:108" ht="12.75">
      <c r="A71" s="8" t="s">
        <v>45</v>
      </c>
      <c r="B71" s="8"/>
      <c r="C71" s="43">
        <v>0</v>
      </c>
      <c r="D71" s="33">
        <f aca="true" t="shared" si="42" ref="D71:D77">+C71/$C$79</f>
        <v>0</v>
      </c>
      <c r="E71" s="46">
        <v>0</v>
      </c>
      <c r="F71" s="33">
        <f aca="true" t="shared" si="43" ref="F71:F77">+E71/$E$79</f>
        <v>0</v>
      </c>
      <c r="G71" s="8"/>
      <c r="H71" s="8"/>
      <c r="I71" s="75">
        <v>48987.34</v>
      </c>
      <c r="J71" s="14">
        <f aca="true" t="shared" si="44" ref="J71:J77">+I71/$I$79</f>
        <v>0.007178964218927482</v>
      </c>
      <c r="K71" s="74">
        <v>49</v>
      </c>
      <c r="L71" s="14">
        <f aca="true" t="shared" si="45" ref="L71:L77">+K71/$K$79</f>
        <v>0.00599241775712364</v>
      </c>
      <c r="M71" s="56"/>
      <c r="N71" s="55"/>
      <c r="O71" s="56"/>
      <c r="P71" s="56"/>
      <c r="Q71" s="75">
        <v>86892.32</v>
      </c>
      <c r="R71" s="14">
        <f t="shared" si="38"/>
        <v>0.003861870748474431</v>
      </c>
      <c r="S71" s="74">
        <v>68</v>
      </c>
      <c r="T71" s="14">
        <f t="shared" si="39"/>
        <v>0.0027717767904455225</v>
      </c>
      <c r="U71" s="56"/>
      <c r="V71" s="55"/>
      <c r="W71" s="63"/>
      <c r="X71" s="63"/>
      <c r="Y71" s="75">
        <v>161255.49</v>
      </c>
      <c r="Z71" s="14">
        <v>0.00663262798044052</v>
      </c>
      <c r="AA71" s="74">
        <v>135</v>
      </c>
      <c r="AB71" s="14">
        <v>0.004940530649588289</v>
      </c>
      <c r="AC71" s="56"/>
      <c r="AD71" s="55"/>
      <c r="AE71" s="63"/>
      <c r="AF71" s="75">
        <v>169462.52</v>
      </c>
      <c r="AG71" s="14">
        <v>0.007690843839604206</v>
      </c>
      <c r="AH71" s="74">
        <v>143</v>
      </c>
      <c r="AI71" s="14">
        <v>0.005582230550025374</v>
      </c>
      <c r="AJ71" s="56"/>
      <c r="AK71" s="55"/>
      <c r="AL71" s="63"/>
      <c r="AM71" s="75">
        <v>165206.71</v>
      </c>
      <c r="AN71" s="14">
        <v>0.007194286093185868</v>
      </c>
      <c r="AO71" s="74">
        <v>121</v>
      </c>
      <c r="AP71" s="14">
        <v>0.00449830848730436</v>
      </c>
      <c r="AQ71" s="56"/>
      <c r="AR71" s="55"/>
      <c r="AS71" s="86"/>
      <c r="AT71" s="75">
        <v>146929.33</v>
      </c>
      <c r="AU71" s="14">
        <v>0.0064928111863739105</v>
      </c>
      <c r="AV71" s="74">
        <v>123</v>
      </c>
      <c r="AW71" s="14">
        <v>0.00472168905950096</v>
      </c>
      <c r="AX71" s="56"/>
      <c r="AY71" s="55"/>
      <c r="AZ71" s="86"/>
      <c r="BA71" s="75">
        <v>124124.51</v>
      </c>
      <c r="BB71" s="14">
        <f t="shared" si="40"/>
        <v>0.005396820077055869</v>
      </c>
      <c r="BC71" s="74">
        <v>111</v>
      </c>
      <c r="BD71" s="14">
        <f t="shared" si="41"/>
        <v>0.004046811768566116</v>
      </c>
      <c r="BE71" s="56"/>
      <c r="BF71" s="55"/>
      <c r="BG71" s="86"/>
      <c r="BH71" s="75">
        <v>147046.8</v>
      </c>
      <c r="BI71" s="14">
        <v>0.006352564147897392</v>
      </c>
      <c r="BJ71" s="74">
        <v>141</v>
      </c>
      <c r="BK71" s="14">
        <v>0.005154827624026615</v>
      </c>
      <c r="BL71" s="56"/>
      <c r="BM71" s="55"/>
      <c r="BN71" s="86"/>
      <c r="BO71" s="75">
        <v>162609.58</v>
      </c>
      <c r="BP71" s="14">
        <v>0.007932590359924543</v>
      </c>
      <c r="BQ71" s="74">
        <v>154</v>
      </c>
      <c r="BR71" s="14">
        <v>0.006309148264984227</v>
      </c>
      <c r="BS71" s="56"/>
      <c r="BT71" s="55"/>
      <c r="BU71" s="86"/>
      <c r="BV71" s="75">
        <v>139282.47</v>
      </c>
      <c r="BW71" s="14">
        <v>0.007191997124640113</v>
      </c>
      <c r="BX71" s="74">
        <v>123</v>
      </c>
      <c r="BY71" s="14">
        <v>0.005275121156237938</v>
      </c>
      <c r="BZ71" s="56"/>
      <c r="CA71" s="55"/>
      <c r="CB71" s="86"/>
      <c r="CC71" s="75">
        <v>102231.01</v>
      </c>
      <c r="CD71" s="14">
        <v>0.00483984523989545</v>
      </c>
      <c r="CE71" s="74">
        <v>102</v>
      </c>
      <c r="CF71" s="14">
        <v>0.004192355117139334</v>
      </c>
      <c r="CG71" s="56"/>
      <c r="CH71" s="55"/>
      <c r="CI71" s="86"/>
      <c r="CJ71" s="75">
        <v>107191.97</v>
      </c>
      <c r="CK71" s="14">
        <v>0.007245955661773156</v>
      </c>
      <c r="CL71" s="74">
        <v>99</v>
      </c>
      <c r="CM71" s="14">
        <v>0.0053513513513513515</v>
      </c>
      <c r="CN71" s="56"/>
      <c r="CO71" s="55"/>
      <c r="CP71" s="86"/>
      <c r="CQ71" s="75">
        <v>97104.29</v>
      </c>
      <c r="CR71" s="14">
        <v>0.009149782776321455</v>
      </c>
      <c r="CS71" s="74">
        <v>105</v>
      </c>
      <c r="CT71" s="14">
        <v>0.007613109048723898</v>
      </c>
      <c r="CU71" s="56"/>
      <c r="CV71" s="55"/>
      <c r="CW71" s="86"/>
      <c r="CX71" s="75">
        <v>79190.24</v>
      </c>
      <c r="CY71" s="14">
        <v>0.007087179109003134</v>
      </c>
      <c r="CZ71" s="74">
        <v>92</v>
      </c>
      <c r="DA71" s="14">
        <v>0.0069675855801272345</v>
      </c>
      <c r="DB71" s="56"/>
      <c r="DC71" s="55"/>
      <c r="DD71" s="86"/>
    </row>
    <row r="72" spans="1:108" ht="12.75">
      <c r="A72" s="8" t="s">
        <v>46</v>
      </c>
      <c r="B72" s="8"/>
      <c r="C72" s="43">
        <v>0</v>
      </c>
      <c r="D72" s="33">
        <f t="shared" si="42"/>
        <v>0</v>
      </c>
      <c r="E72" s="46">
        <v>0</v>
      </c>
      <c r="F72" s="33">
        <f t="shared" si="43"/>
        <v>0</v>
      </c>
      <c r="G72" s="8"/>
      <c r="H72" s="8"/>
      <c r="I72" s="75">
        <v>50076.05</v>
      </c>
      <c r="J72" s="14">
        <f t="shared" si="44"/>
        <v>0.007338511770086386</v>
      </c>
      <c r="K72" s="74">
        <v>42</v>
      </c>
      <c r="L72" s="14">
        <f t="shared" si="45"/>
        <v>0.005136358077534548</v>
      </c>
      <c r="M72" s="56"/>
      <c r="N72" s="55"/>
      <c r="O72" s="56"/>
      <c r="P72" s="56"/>
      <c r="Q72" s="75">
        <v>52308.79</v>
      </c>
      <c r="R72" s="14">
        <f t="shared" si="38"/>
        <v>0.0023248290066267287</v>
      </c>
      <c r="S72" s="74">
        <v>35</v>
      </c>
      <c r="T72" s="14">
        <f t="shared" si="39"/>
        <v>0.001426649818611666</v>
      </c>
      <c r="U72" s="56"/>
      <c r="V72" s="55"/>
      <c r="W72" s="63"/>
      <c r="X72" s="63"/>
      <c r="Y72" s="75">
        <v>67062.51</v>
      </c>
      <c r="Z72" s="14">
        <v>0.0027583599185650796</v>
      </c>
      <c r="AA72" s="74">
        <v>67</v>
      </c>
      <c r="AB72" s="14">
        <v>0.0024519670631290027</v>
      </c>
      <c r="AC72" s="56"/>
      <c r="AD72" s="55"/>
      <c r="AE72" s="63"/>
      <c r="AF72" s="75">
        <v>114137.94</v>
      </c>
      <c r="AG72" s="14">
        <v>0.005180007194004403</v>
      </c>
      <c r="AH72" s="74">
        <v>101</v>
      </c>
      <c r="AI72" s="14">
        <v>0.003942694304563376</v>
      </c>
      <c r="AJ72" s="56"/>
      <c r="AK72" s="55"/>
      <c r="AL72" s="63"/>
      <c r="AM72" s="75">
        <v>95378.11000000006</v>
      </c>
      <c r="AN72" s="14">
        <v>0.004153447583136014</v>
      </c>
      <c r="AO72" s="74">
        <v>90</v>
      </c>
      <c r="AP72" s="14">
        <v>0.0033458492880776235</v>
      </c>
      <c r="AQ72" s="56"/>
      <c r="AR72" s="55"/>
      <c r="AS72" s="86"/>
      <c r="AT72" s="75">
        <v>122768.66</v>
      </c>
      <c r="AU72" s="14">
        <v>0.005425150505921013</v>
      </c>
      <c r="AV72" s="74">
        <v>94</v>
      </c>
      <c r="AW72" s="14">
        <v>0.0036084452975047986</v>
      </c>
      <c r="AX72" s="56"/>
      <c r="AY72" s="55"/>
      <c r="AZ72" s="86"/>
      <c r="BA72" s="75">
        <v>119630.07</v>
      </c>
      <c r="BB72" s="14">
        <f t="shared" si="40"/>
        <v>0.005201405939855062</v>
      </c>
      <c r="BC72" s="74">
        <v>101</v>
      </c>
      <c r="BD72" s="14">
        <f t="shared" si="41"/>
        <v>0.003682234131758358</v>
      </c>
      <c r="BE72" s="56"/>
      <c r="BF72" s="55"/>
      <c r="BG72" s="86"/>
      <c r="BH72" s="75">
        <v>140791.48</v>
      </c>
      <c r="BI72" s="14">
        <v>0.006082328266765499</v>
      </c>
      <c r="BJ72" s="74">
        <v>126</v>
      </c>
      <c r="BK72" s="14">
        <v>0.004606441706576975</v>
      </c>
      <c r="BL72" s="56"/>
      <c r="BM72" s="55"/>
      <c r="BN72" s="86"/>
      <c r="BO72" s="75">
        <v>122968.3</v>
      </c>
      <c r="BP72" s="14">
        <v>0.00599876803787519</v>
      </c>
      <c r="BQ72" s="74">
        <v>108</v>
      </c>
      <c r="BR72" s="14">
        <v>0.004424597484534393</v>
      </c>
      <c r="BS72" s="56"/>
      <c r="BT72" s="55"/>
      <c r="BU72" s="86"/>
      <c r="BV72" s="75">
        <v>81779.12</v>
      </c>
      <c r="BW72" s="14">
        <v>0.004222751046097896</v>
      </c>
      <c r="BX72" s="74">
        <v>76</v>
      </c>
      <c r="BY72" s="14">
        <v>0.00325942445426084</v>
      </c>
      <c r="BZ72" s="56"/>
      <c r="CA72" s="55"/>
      <c r="CB72" s="86"/>
      <c r="CC72" s="75">
        <v>85127.2</v>
      </c>
      <c r="CD72" s="14">
        <v>0.004030112523642561</v>
      </c>
      <c r="CE72" s="74">
        <v>82</v>
      </c>
      <c r="CF72" s="14">
        <v>0.0033703247020139744</v>
      </c>
      <c r="CG72" s="56"/>
      <c r="CH72" s="55"/>
      <c r="CI72" s="86"/>
      <c r="CJ72" s="75">
        <v>88144.76</v>
      </c>
      <c r="CK72" s="14">
        <v>0.005958403626480938</v>
      </c>
      <c r="CL72" s="74">
        <v>88</v>
      </c>
      <c r="CM72" s="14">
        <v>0.004756756756756757</v>
      </c>
      <c r="CN72" s="56"/>
      <c r="CO72" s="55"/>
      <c r="CP72" s="86"/>
      <c r="CQ72" s="75">
        <v>94682.63</v>
      </c>
      <c r="CR72" s="14">
        <v>0.008921598594571024</v>
      </c>
      <c r="CS72" s="74">
        <v>99</v>
      </c>
      <c r="CT72" s="14">
        <v>0.007178074245939675</v>
      </c>
      <c r="CU72" s="56"/>
      <c r="CV72" s="55"/>
      <c r="CW72" s="86"/>
      <c r="CX72" s="75">
        <v>77951.26</v>
      </c>
      <c r="CY72" s="14">
        <v>0.006976295833835983</v>
      </c>
      <c r="CZ72" s="74">
        <v>101</v>
      </c>
      <c r="DA72" s="14">
        <v>0.007649197212965768</v>
      </c>
      <c r="DB72" s="56"/>
      <c r="DC72" s="55"/>
      <c r="DD72" s="86"/>
    </row>
    <row r="73" spans="1:108" ht="12.75">
      <c r="A73" s="8" t="s">
        <v>47</v>
      </c>
      <c r="B73" s="8"/>
      <c r="C73" s="43">
        <v>0</v>
      </c>
      <c r="D73" s="33">
        <f t="shared" si="42"/>
        <v>0</v>
      </c>
      <c r="E73" s="46">
        <v>0</v>
      </c>
      <c r="F73" s="33">
        <f t="shared" si="43"/>
        <v>0</v>
      </c>
      <c r="G73" s="8"/>
      <c r="H73" s="8"/>
      <c r="I73" s="75">
        <v>32843.46</v>
      </c>
      <c r="J73" s="14">
        <f t="shared" si="44"/>
        <v>0.004813121597657191</v>
      </c>
      <c r="K73" s="74">
        <v>27</v>
      </c>
      <c r="L73" s="14">
        <f t="shared" si="45"/>
        <v>0.0033019444784150665</v>
      </c>
      <c r="M73" s="56"/>
      <c r="N73" s="55"/>
      <c r="O73" s="56"/>
      <c r="P73" s="56"/>
      <c r="Q73" s="75">
        <v>32039.56</v>
      </c>
      <c r="R73" s="14">
        <f t="shared" si="38"/>
        <v>0.001423976705398031</v>
      </c>
      <c r="S73" s="74">
        <v>30</v>
      </c>
      <c r="T73" s="14">
        <f t="shared" si="39"/>
        <v>0.0012228427016671422</v>
      </c>
      <c r="U73" s="56"/>
      <c r="V73" s="55"/>
      <c r="W73" s="63"/>
      <c r="X73" s="63"/>
      <c r="Y73" s="75">
        <v>96605.17</v>
      </c>
      <c r="Z73" s="14">
        <v>0.0039734842739134815</v>
      </c>
      <c r="AA73" s="74">
        <v>72</v>
      </c>
      <c r="AB73" s="14">
        <v>0.002634949679780421</v>
      </c>
      <c r="AC73" s="56"/>
      <c r="AD73" s="55"/>
      <c r="AE73" s="63"/>
      <c r="AF73" s="75">
        <v>96369.17</v>
      </c>
      <c r="AG73" s="14">
        <v>0.004373593862656302</v>
      </c>
      <c r="AH73" s="74">
        <v>72</v>
      </c>
      <c r="AI73" s="14">
        <v>0.0028106335636491394</v>
      </c>
      <c r="AJ73" s="56"/>
      <c r="AK73" s="55"/>
      <c r="AL73" s="63"/>
      <c r="AM73" s="75">
        <v>91263.82</v>
      </c>
      <c r="AN73" s="14">
        <v>0.003974281862020122</v>
      </c>
      <c r="AO73" s="74">
        <v>76</v>
      </c>
      <c r="AP73" s="14">
        <v>0.002825383843265549</v>
      </c>
      <c r="AQ73" s="56"/>
      <c r="AR73" s="55"/>
      <c r="AS73" s="86"/>
      <c r="AT73" s="75">
        <v>105275.87</v>
      </c>
      <c r="AU73" s="14">
        <v>0.00465214362844536</v>
      </c>
      <c r="AV73" s="74">
        <v>78</v>
      </c>
      <c r="AW73" s="14">
        <v>0.0029942418426103646</v>
      </c>
      <c r="AX73" s="56"/>
      <c r="AY73" s="55"/>
      <c r="AZ73" s="86"/>
      <c r="BA73" s="75">
        <v>114456.31</v>
      </c>
      <c r="BB73" s="14">
        <f t="shared" si="40"/>
        <v>0.004976455590871862</v>
      </c>
      <c r="BC73" s="74">
        <v>84</v>
      </c>
      <c r="BD73" s="14">
        <f t="shared" si="41"/>
        <v>0.003062452149185169</v>
      </c>
      <c r="BE73" s="56"/>
      <c r="BF73" s="55"/>
      <c r="BG73" s="86"/>
      <c r="BH73" s="75">
        <v>123001.33</v>
      </c>
      <c r="BI73" s="14">
        <v>0.005313776560263098</v>
      </c>
      <c r="BJ73" s="74">
        <v>89</v>
      </c>
      <c r="BK73" s="14">
        <v>0.00325375644353453</v>
      </c>
      <c r="BL73" s="56"/>
      <c r="BM73" s="55"/>
      <c r="BN73" s="86"/>
      <c r="BO73" s="75">
        <v>65217.9</v>
      </c>
      <c r="BP73" s="14">
        <v>0.003181527710941278</v>
      </c>
      <c r="BQ73" s="74">
        <v>69</v>
      </c>
      <c r="BR73" s="14">
        <v>0.002826826170674751</v>
      </c>
      <c r="BS73" s="56"/>
      <c r="BT73" s="55"/>
      <c r="BU73" s="86"/>
      <c r="BV73" s="75">
        <v>83268.73</v>
      </c>
      <c r="BW73" s="14">
        <v>0.0042996686283093164</v>
      </c>
      <c r="BX73" s="74">
        <v>79</v>
      </c>
      <c r="BY73" s="14">
        <v>0.0033880859458763992</v>
      </c>
      <c r="BZ73" s="56"/>
      <c r="CA73" s="55"/>
      <c r="CB73" s="86"/>
      <c r="CC73" s="75">
        <v>90366.27</v>
      </c>
      <c r="CD73" s="14">
        <v>0.004278141844696702</v>
      </c>
      <c r="CE73" s="74">
        <v>88</v>
      </c>
      <c r="CF73" s="14">
        <v>0.0036169338265515825</v>
      </c>
      <c r="CG73" s="56"/>
      <c r="CH73" s="55"/>
      <c r="CI73" s="86"/>
      <c r="CJ73" s="75">
        <v>84076.2</v>
      </c>
      <c r="CK73" s="14">
        <v>0.005683377378085057</v>
      </c>
      <c r="CL73" s="74">
        <v>89</v>
      </c>
      <c r="CM73" s="14">
        <v>0.00481081081081081</v>
      </c>
      <c r="CN73" s="56"/>
      <c r="CO73" s="55"/>
      <c r="CP73" s="86"/>
      <c r="CQ73" s="75">
        <v>81623.1</v>
      </c>
      <c r="CR73" s="14">
        <v>0.007691046755297464</v>
      </c>
      <c r="CS73" s="74">
        <v>86</v>
      </c>
      <c r="CT73" s="14">
        <v>0.006235498839907192</v>
      </c>
      <c r="CU73" s="56"/>
      <c r="CV73" s="55"/>
      <c r="CW73" s="86"/>
      <c r="CX73" s="75">
        <v>66116.25</v>
      </c>
      <c r="CY73" s="14">
        <v>0.005917114353557062</v>
      </c>
      <c r="CZ73" s="74">
        <v>80</v>
      </c>
      <c r="DA73" s="14">
        <v>0.006058770069675856</v>
      </c>
      <c r="DB73" s="56"/>
      <c r="DC73" s="55"/>
      <c r="DD73" s="86"/>
    </row>
    <row r="74" spans="1:108" ht="12.75">
      <c r="A74" s="8" t="s">
        <v>48</v>
      </c>
      <c r="B74" s="8"/>
      <c r="C74" s="43">
        <v>0</v>
      </c>
      <c r="D74" s="33">
        <f t="shared" si="42"/>
        <v>0</v>
      </c>
      <c r="E74" s="46">
        <v>0</v>
      </c>
      <c r="F74" s="33">
        <f t="shared" si="43"/>
        <v>0</v>
      </c>
      <c r="G74" s="8"/>
      <c r="H74" s="8"/>
      <c r="I74" s="75">
        <v>896</v>
      </c>
      <c r="J74" s="14">
        <f t="shared" si="44"/>
        <v>0.00013130641386446018</v>
      </c>
      <c r="K74" s="74">
        <v>2</v>
      </c>
      <c r="L74" s="14">
        <f t="shared" si="45"/>
        <v>0.00024458847988259754</v>
      </c>
      <c r="M74" s="56"/>
      <c r="N74" s="55"/>
      <c r="O74" s="56"/>
      <c r="P74" s="56"/>
      <c r="Q74" s="75">
        <v>46658.14</v>
      </c>
      <c r="R74" s="14">
        <f t="shared" si="38"/>
        <v>0.0020736896660628326</v>
      </c>
      <c r="S74" s="74">
        <v>44</v>
      </c>
      <c r="T74" s="14">
        <f t="shared" si="39"/>
        <v>0.0017935026291118086</v>
      </c>
      <c r="U74" s="56"/>
      <c r="V74" s="55"/>
      <c r="W74" s="63"/>
      <c r="X74" s="63"/>
      <c r="Y74" s="75">
        <v>68996.63</v>
      </c>
      <c r="Z74" s="14">
        <v>0.0028379125491733753</v>
      </c>
      <c r="AA74" s="74">
        <v>52</v>
      </c>
      <c r="AB74" s="14">
        <v>0.0019030192131747484</v>
      </c>
      <c r="AC74" s="56"/>
      <c r="AD74" s="55"/>
      <c r="AE74" s="63"/>
      <c r="AF74" s="75">
        <v>132958.32</v>
      </c>
      <c r="AG74" s="14">
        <v>0.006034146525710376</v>
      </c>
      <c r="AH74" s="74">
        <v>109</v>
      </c>
      <c r="AI74" s="14">
        <v>0.004254986922746613</v>
      </c>
      <c r="AJ74" s="56"/>
      <c r="AK74" s="55"/>
      <c r="AL74" s="63"/>
      <c r="AM74" s="75">
        <v>133146.01</v>
      </c>
      <c r="AN74" s="14">
        <v>0.00579813306678758</v>
      </c>
      <c r="AO74" s="74">
        <v>106</v>
      </c>
      <c r="AP74" s="14">
        <v>0.003940666939291423</v>
      </c>
      <c r="AQ74" s="56"/>
      <c r="AR74" s="55"/>
      <c r="AS74" s="86"/>
      <c r="AT74" s="75">
        <v>137354.06</v>
      </c>
      <c r="AU74" s="14">
        <v>0.006069679738292371</v>
      </c>
      <c r="AV74" s="74">
        <v>98</v>
      </c>
      <c r="AW74" s="14">
        <v>0.003761996161228407</v>
      </c>
      <c r="AX74" s="56"/>
      <c r="AY74" s="55"/>
      <c r="AZ74" s="86"/>
      <c r="BA74" s="75">
        <v>129298.51</v>
      </c>
      <c r="BB74" s="14">
        <f t="shared" si="40"/>
        <v>0.005621780861019382</v>
      </c>
      <c r="BC74" s="74">
        <v>101</v>
      </c>
      <c r="BD74" s="14">
        <f t="shared" si="41"/>
        <v>0.003682234131758358</v>
      </c>
      <c r="BE74" s="56"/>
      <c r="BF74" s="55"/>
      <c r="BG74" s="86"/>
      <c r="BH74" s="75">
        <v>86882.43</v>
      </c>
      <c r="BI74" s="14">
        <v>0.003753405105722839</v>
      </c>
      <c r="BJ74" s="74">
        <v>81</v>
      </c>
      <c r="BK74" s="14">
        <v>0.0029612839542280554</v>
      </c>
      <c r="BL74" s="56"/>
      <c r="BM74" s="55"/>
      <c r="BN74" s="86"/>
      <c r="BO74" s="75">
        <v>147261.45</v>
      </c>
      <c r="BP74" s="14">
        <v>0.007183861852779585</v>
      </c>
      <c r="BQ74" s="74">
        <v>116</v>
      </c>
      <c r="BR74" s="14">
        <v>0.004752345446351756</v>
      </c>
      <c r="BS74" s="56"/>
      <c r="BT74" s="55"/>
      <c r="BU74" s="86"/>
      <c r="BV74" s="75">
        <v>93019.77</v>
      </c>
      <c r="BW74" s="14">
        <v>0.0048031738550779884</v>
      </c>
      <c r="BX74" s="74">
        <v>87</v>
      </c>
      <c r="BY74" s="14">
        <v>0.003731183256851224</v>
      </c>
      <c r="BZ74" s="56"/>
      <c r="CA74" s="55"/>
      <c r="CB74" s="86"/>
      <c r="CC74" s="75">
        <v>83024.55</v>
      </c>
      <c r="CD74" s="14">
        <v>0.003930568357995894</v>
      </c>
      <c r="CE74" s="74">
        <v>73</v>
      </c>
      <c r="CF74" s="14">
        <v>0.0030004110152075628</v>
      </c>
      <c r="CG74" s="56"/>
      <c r="CH74" s="55"/>
      <c r="CI74" s="86"/>
      <c r="CJ74" s="75">
        <v>89008.4</v>
      </c>
      <c r="CK74" s="14">
        <v>0.006016783905784821</v>
      </c>
      <c r="CL74" s="74">
        <v>78</v>
      </c>
      <c r="CM74" s="14">
        <v>0.004216216216216216</v>
      </c>
      <c r="CN74" s="56"/>
      <c r="CO74" s="55"/>
      <c r="CP74" s="86"/>
      <c r="CQ74" s="75">
        <v>99793.42</v>
      </c>
      <c r="CR74" s="14">
        <v>0.00940316967979698</v>
      </c>
      <c r="CS74" s="74">
        <v>76</v>
      </c>
      <c r="CT74" s="14">
        <v>0.005510440835266821</v>
      </c>
      <c r="CU74" s="56"/>
      <c r="CV74" s="55"/>
      <c r="CW74" s="86"/>
      <c r="CX74" s="75">
        <v>89584.19</v>
      </c>
      <c r="CY74" s="14">
        <v>0.008017392040546505</v>
      </c>
      <c r="CZ74" s="74">
        <v>81</v>
      </c>
      <c r="DA74" s="14">
        <v>0.006134504695546804</v>
      </c>
      <c r="DB74" s="56"/>
      <c r="DC74" s="55"/>
      <c r="DD74" s="86"/>
    </row>
    <row r="75" spans="1:108" ht="12.75">
      <c r="A75" s="8" t="s">
        <v>77</v>
      </c>
      <c r="B75" s="8"/>
      <c r="C75" s="43">
        <v>0</v>
      </c>
      <c r="D75" s="33">
        <f t="shared" si="42"/>
        <v>0</v>
      </c>
      <c r="E75" s="46">
        <v>0</v>
      </c>
      <c r="F75" s="33">
        <f t="shared" si="43"/>
        <v>0</v>
      </c>
      <c r="G75" s="8"/>
      <c r="H75" s="8"/>
      <c r="I75" s="75">
        <f>742.4+898.74</f>
        <v>1641.1399999999999</v>
      </c>
      <c r="J75" s="14">
        <f t="shared" si="44"/>
        <v>0.0002405046964838395</v>
      </c>
      <c r="K75" s="74">
        <v>2</v>
      </c>
      <c r="L75" s="14">
        <f t="shared" si="45"/>
        <v>0.00024458847988259754</v>
      </c>
      <c r="M75" s="56"/>
      <c r="N75" s="55"/>
      <c r="O75" s="56"/>
      <c r="P75" s="56"/>
      <c r="Q75" s="75">
        <v>71179.49</v>
      </c>
      <c r="R75" s="14">
        <f t="shared" si="38"/>
        <v>0.0031635245821762877</v>
      </c>
      <c r="S75" s="74">
        <v>58</v>
      </c>
      <c r="T75" s="14">
        <f t="shared" si="39"/>
        <v>0.002364162556556475</v>
      </c>
      <c r="U75" s="56"/>
      <c r="V75" s="55"/>
      <c r="W75" s="63"/>
      <c r="X75" s="63"/>
      <c r="Y75" s="75">
        <v>110663.88</v>
      </c>
      <c r="Z75" s="14">
        <v>0.0045517355527685405</v>
      </c>
      <c r="AA75" s="74">
        <v>90</v>
      </c>
      <c r="AB75" s="14">
        <v>0.003293687099725526</v>
      </c>
      <c r="AC75" s="56"/>
      <c r="AD75" s="55"/>
      <c r="AE75" s="63"/>
      <c r="AF75" s="75">
        <v>191134.59</v>
      </c>
      <c r="AG75" s="14">
        <v>0.008674403543844246</v>
      </c>
      <c r="AH75" s="74">
        <v>149</v>
      </c>
      <c r="AI75" s="14">
        <v>0.005816450013662802</v>
      </c>
      <c r="AJ75" s="56"/>
      <c r="AK75" s="55"/>
      <c r="AL75" s="63"/>
      <c r="AM75" s="75">
        <v>314184.93</v>
      </c>
      <c r="AN75" s="14">
        <v>0.013681867235220496</v>
      </c>
      <c r="AO75" s="74">
        <v>231</v>
      </c>
      <c r="AP75" s="14">
        <v>0.008587679839399235</v>
      </c>
      <c r="AQ75" s="56"/>
      <c r="AR75" s="55"/>
      <c r="AS75" s="86"/>
      <c r="AT75" s="75">
        <v>248718.78</v>
      </c>
      <c r="AU75" s="14">
        <v>0.010990889817882318</v>
      </c>
      <c r="AV75" s="74">
        <v>204</v>
      </c>
      <c r="AW75" s="14">
        <v>0.00783109404990403</v>
      </c>
      <c r="AX75" s="56"/>
      <c r="AY75" s="55"/>
      <c r="AZ75" s="86"/>
      <c r="BA75" s="75">
        <f>91616.69+93511.73+91060.8</f>
        <v>276189.22</v>
      </c>
      <c r="BB75" s="14">
        <f t="shared" si="40"/>
        <v>0.012008454474965501</v>
      </c>
      <c r="BC75" s="74">
        <f>62+71+60</f>
        <v>193</v>
      </c>
      <c r="BD75" s="14">
        <f t="shared" si="41"/>
        <v>0.007036348390389733</v>
      </c>
      <c r="BE75" s="56"/>
      <c r="BF75" s="55"/>
      <c r="BG75" s="86"/>
      <c r="BH75" s="75">
        <v>288490.97</v>
      </c>
      <c r="BI75" s="14">
        <v>0.012463089254673635</v>
      </c>
      <c r="BJ75" s="74">
        <v>206</v>
      </c>
      <c r="BK75" s="14">
        <v>0.007531166599641721</v>
      </c>
      <c r="BL75" s="56"/>
      <c r="BM75" s="55"/>
      <c r="BN75" s="86"/>
      <c r="BO75" s="75">
        <v>254452.33</v>
      </c>
      <c r="BP75" s="14">
        <v>0.012412959310382195</v>
      </c>
      <c r="BQ75" s="74">
        <v>212</v>
      </c>
      <c r="BR75" s="14">
        <v>0.008685320988160106</v>
      </c>
      <c r="BS75" s="56"/>
      <c r="BT75" s="55"/>
      <c r="BU75" s="86"/>
      <c r="BV75" s="75">
        <v>300907.28</v>
      </c>
      <c r="BW75" s="14">
        <v>0.015537664521194058</v>
      </c>
      <c r="BX75" s="74">
        <v>242</v>
      </c>
      <c r="BY75" s="14">
        <v>0.010378693656988463</v>
      </c>
      <c r="BZ75" s="56"/>
      <c r="CA75" s="55"/>
      <c r="CB75" s="86"/>
      <c r="CC75" s="75">
        <v>264019.21</v>
      </c>
      <c r="CD75" s="14">
        <v>0.012499261395925335</v>
      </c>
      <c r="CE75" s="74">
        <v>224</v>
      </c>
      <c r="CF75" s="14">
        <v>0.009206740649404029</v>
      </c>
      <c r="CG75" s="56"/>
      <c r="CH75" s="55"/>
      <c r="CI75" s="86"/>
      <c r="CJ75" s="75">
        <v>247998.17</v>
      </c>
      <c r="CK75" s="14">
        <v>0.01676416380836065</v>
      </c>
      <c r="CL75" s="74">
        <v>197</v>
      </c>
      <c r="CM75" s="14">
        <v>0.010648648648648649</v>
      </c>
      <c r="CN75" s="56"/>
      <c r="CO75" s="55"/>
      <c r="CP75" s="86"/>
      <c r="CQ75" s="75">
        <v>259287.31</v>
      </c>
      <c r="CR75" s="14">
        <v>0.024431696716558277</v>
      </c>
      <c r="CS75" s="74">
        <v>213</v>
      </c>
      <c r="CT75" s="14">
        <v>0.015443735498839907</v>
      </c>
      <c r="CU75" s="56"/>
      <c r="CV75" s="55"/>
      <c r="CW75" s="86"/>
      <c r="CX75" s="75">
        <v>254302.26</v>
      </c>
      <c r="CY75" s="14">
        <v>0.022758936763473424</v>
      </c>
      <c r="CZ75" s="74">
        <v>195</v>
      </c>
      <c r="DA75" s="14">
        <v>0.014768252044834899</v>
      </c>
      <c r="DB75" s="56"/>
      <c r="DC75" s="55"/>
      <c r="DD75" s="86"/>
    </row>
    <row r="76" spans="1:108" ht="12.75">
      <c r="A76" s="8" t="s">
        <v>78</v>
      </c>
      <c r="B76" s="8"/>
      <c r="C76" s="43">
        <v>0</v>
      </c>
      <c r="D76" s="33">
        <f t="shared" si="42"/>
        <v>0</v>
      </c>
      <c r="E76" s="46">
        <v>0</v>
      </c>
      <c r="F76" s="33">
        <f t="shared" si="43"/>
        <v>0</v>
      </c>
      <c r="G76" s="8"/>
      <c r="H76" s="8"/>
      <c r="I76" s="75">
        <v>1809</v>
      </c>
      <c r="J76" s="14">
        <f t="shared" si="44"/>
        <v>0.00026510413245625945</v>
      </c>
      <c r="K76" s="74">
        <v>1</v>
      </c>
      <c r="L76" s="14">
        <f t="shared" si="45"/>
        <v>0.00012229423994129877</v>
      </c>
      <c r="M76" s="56"/>
      <c r="N76" s="55"/>
      <c r="O76" s="56"/>
      <c r="P76" s="56"/>
      <c r="Q76" s="75">
        <v>0</v>
      </c>
      <c r="R76" s="14">
        <f t="shared" si="38"/>
        <v>0</v>
      </c>
      <c r="S76" s="74">
        <v>0</v>
      </c>
      <c r="T76" s="14">
        <f t="shared" si="39"/>
        <v>0</v>
      </c>
      <c r="U76" s="56"/>
      <c r="V76" s="55"/>
      <c r="W76" s="63"/>
      <c r="X76" s="63"/>
      <c r="Y76" s="75">
        <v>66480.12</v>
      </c>
      <c r="Z76" s="14">
        <v>0.002734405532828949</v>
      </c>
      <c r="AA76" s="74">
        <v>54</v>
      </c>
      <c r="AB76" s="14">
        <v>0.001976212259835316</v>
      </c>
      <c r="AC76" s="56"/>
      <c r="AD76" s="55"/>
      <c r="AE76" s="63"/>
      <c r="AF76" s="75">
        <v>107905.2</v>
      </c>
      <c r="AG76" s="14">
        <v>0.004897142109542924</v>
      </c>
      <c r="AH76" s="74">
        <v>85</v>
      </c>
      <c r="AI76" s="14">
        <v>0.0033181090681969005</v>
      </c>
      <c r="AJ76" s="56"/>
      <c r="AK76" s="55"/>
      <c r="AL76" s="63"/>
      <c r="AM76" s="75">
        <v>165175.72</v>
      </c>
      <c r="AN76" s="14">
        <v>0.007192936566123513</v>
      </c>
      <c r="AO76" s="74">
        <v>116</v>
      </c>
      <c r="AP76" s="14">
        <v>0.004312427971300048</v>
      </c>
      <c r="AQ76" s="56"/>
      <c r="AR76" s="55"/>
      <c r="AS76" s="86"/>
      <c r="AT76" s="75">
        <v>304016.18</v>
      </c>
      <c r="AU76" s="14">
        <v>0.01343448346455173</v>
      </c>
      <c r="AV76" s="74">
        <v>201</v>
      </c>
      <c r="AW76" s="14">
        <v>0.007715930902111324</v>
      </c>
      <c r="AX76" s="56"/>
      <c r="AY76" s="55"/>
      <c r="AZ76" s="86"/>
      <c r="BA76" s="75">
        <f>79756.76+52580.39+80231.84-975.88</f>
        <v>211593.11</v>
      </c>
      <c r="BB76" s="14">
        <f t="shared" si="40"/>
        <v>0.009199874740409375</v>
      </c>
      <c r="BC76" s="74">
        <f>63+39+61+4</f>
        <v>167</v>
      </c>
      <c r="BD76" s="14">
        <f t="shared" si="41"/>
        <v>0.0060884465346895626</v>
      </c>
      <c r="BE76" s="56"/>
      <c r="BF76" s="55"/>
      <c r="BG76" s="86"/>
      <c r="BH76" s="75">
        <v>254046.22</v>
      </c>
      <c r="BI76" s="14">
        <v>0.01097504270124106</v>
      </c>
      <c r="BJ76" s="74">
        <v>165</v>
      </c>
      <c r="BK76" s="14">
        <v>0.006032245091946039</v>
      </c>
      <c r="BL76" s="56"/>
      <c r="BM76" s="55"/>
      <c r="BN76" s="86"/>
      <c r="BO76" s="75">
        <v>241677.3</v>
      </c>
      <c r="BP76" s="14">
        <v>0.011789754454765773</v>
      </c>
      <c r="BQ76" s="74">
        <v>154</v>
      </c>
      <c r="BR76" s="14">
        <v>0.006309148264984227</v>
      </c>
      <c r="BS76" s="56"/>
      <c r="BT76" s="55"/>
      <c r="BU76" s="86"/>
      <c r="BV76" s="75">
        <v>217324.14</v>
      </c>
      <c r="BW76" s="14">
        <v>0.011221761001186185</v>
      </c>
      <c r="BX76" s="74">
        <v>166</v>
      </c>
      <c r="BY76" s="14">
        <v>0.007119269202727624</v>
      </c>
      <c r="BZ76" s="56"/>
      <c r="CA76" s="55"/>
      <c r="CB76" s="86"/>
      <c r="CC76" s="75">
        <v>222397.38</v>
      </c>
      <c r="CD76" s="14">
        <v>0.01052879063757875</v>
      </c>
      <c r="CE76" s="74">
        <v>168</v>
      </c>
      <c r="CF76" s="14">
        <v>0.0069050554870530205</v>
      </c>
      <c r="CG76" s="56"/>
      <c r="CH76" s="55"/>
      <c r="CI76" s="86"/>
      <c r="CJ76" s="75">
        <v>208458.78</v>
      </c>
      <c r="CK76" s="14">
        <v>0.014091382751780044</v>
      </c>
      <c r="CL76" s="74">
        <v>166</v>
      </c>
      <c r="CM76" s="14">
        <v>0.008972972972972972</v>
      </c>
      <c r="CN76" s="56"/>
      <c r="CO76" s="55"/>
      <c r="CP76" s="86"/>
      <c r="CQ76" s="75">
        <v>176236.62</v>
      </c>
      <c r="CR76" s="14">
        <v>0.016606133366848252</v>
      </c>
      <c r="CS76" s="74">
        <v>140</v>
      </c>
      <c r="CT76" s="14">
        <v>0.010150812064965197</v>
      </c>
      <c r="CU76" s="56"/>
      <c r="CV76" s="55"/>
      <c r="CW76" s="86"/>
      <c r="CX76" s="75">
        <v>212150.57</v>
      </c>
      <c r="CY76" s="14">
        <v>0.018986545408463305</v>
      </c>
      <c r="CZ76" s="74">
        <v>159</v>
      </c>
      <c r="DA76" s="14">
        <v>0.012041805513480764</v>
      </c>
      <c r="DB76" s="56"/>
      <c r="DC76" s="55"/>
      <c r="DD76" s="86"/>
    </row>
    <row r="77" spans="1:108" ht="12.75">
      <c r="A77" s="8" t="s">
        <v>49</v>
      </c>
      <c r="B77" s="8"/>
      <c r="C77" s="43">
        <v>0</v>
      </c>
      <c r="D77" s="33">
        <f t="shared" si="42"/>
        <v>0</v>
      </c>
      <c r="E77" s="46">
        <v>0</v>
      </c>
      <c r="F77" s="33">
        <f t="shared" si="43"/>
        <v>0</v>
      </c>
      <c r="G77" s="8"/>
      <c r="H77" s="8"/>
      <c r="I77" s="75">
        <v>0</v>
      </c>
      <c r="J77" s="14">
        <f t="shared" si="44"/>
        <v>0</v>
      </c>
      <c r="K77" s="74">
        <v>0</v>
      </c>
      <c r="L77" s="14">
        <f t="shared" si="45"/>
        <v>0</v>
      </c>
      <c r="M77" s="56"/>
      <c r="N77" s="55"/>
      <c r="O77" s="56"/>
      <c r="P77" s="56"/>
      <c r="Q77" s="75">
        <v>0</v>
      </c>
      <c r="R77" s="14">
        <f t="shared" si="38"/>
        <v>0</v>
      </c>
      <c r="S77" s="74">
        <v>0</v>
      </c>
      <c r="T77" s="14">
        <f t="shared" si="39"/>
        <v>0</v>
      </c>
      <c r="U77" s="56"/>
      <c r="V77" s="55"/>
      <c r="W77" s="63"/>
      <c r="X77" s="63"/>
      <c r="Y77" s="75">
        <v>0</v>
      </c>
      <c r="Z77" s="14">
        <v>0</v>
      </c>
      <c r="AA77" s="74">
        <v>0</v>
      </c>
      <c r="AB77" s="14">
        <v>0</v>
      </c>
      <c r="AC77" s="56"/>
      <c r="AD77" s="55"/>
      <c r="AE77" s="63"/>
      <c r="AF77" s="75">
        <v>52058.13</v>
      </c>
      <c r="AG77" s="14">
        <v>0.002362592910879734</v>
      </c>
      <c r="AH77" s="74">
        <v>35</v>
      </c>
      <c r="AI77" s="14">
        <v>0.001366280204551665</v>
      </c>
      <c r="AJ77" s="56"/>
      <c r="AK77" s="55"/>
      <c r="AL77" s="63"/>
      <c r="AM77" s="75">
        <v>112082.71</v>
      </c>
      <c r="AN77" s="14">
        <v>0.0048808857814527295</v>
      </c>
      <c r="AO77" s="74">
        <v>73</v>
      </c>
      <c r="AP77" s="14">
        <v>0.0027138555336629613</v>
      </c>
      <c r="AQ77" s="56"/>
      <c r="AR77" s="55"/>
      <c r="AS77" s="63"/>
      <c r="AT77" s="75">
        <v>231323.72</v>
      </c>
      <c r="AU77" s="14">
        <v>0.010222201631829573</v>
      </c>
      <c r="AV77" s="74">
        <v>148</v>
      </c>
      <c r="AW77" s="14">
        <v>0.0056813819577735125</v>
      </c>
      <c r="AX77" s="56"/>
      <c r="AY77" s="55"/>
      <c r="AZ77" s="63"/>
      <c r="BA77" s="75">
        <v>415043.72</v>
      </c>
      <c r="BB77" s="14">
        <f t="shared" si="40"/>
        <v>0.018045721034080652</v>
      </c>
      <c r="BC77" s="74">
        <v>252</v>
      </c>
      <c r="BD77" s="14">
        <f t="shared" si="41"/>
        <v>0.009187356447555507</v>
      </c>
      <c r="BE77" s="56"/>
      <c r="BF77" s="55"/>
      <c r="BG77" s="63"/>
      <c r="BH77" s="75">
        <v>549983.13</v>
      </c>
      <c r="BI77" s="14">
        <v>0.023759803773944013</v>
      </c>
      <c r="BJ77" s="74">
        <v>340</v>
      </c>
      <c r="BK77" s="14">
        <v>0.012430080795525171</v>
      </c>
      <c r="BL77" s="56"/>
      <c r="BM77" s="55"/>
      <c r="BN77" s="63"/>
      <c r="BO77" s="75">
        <v>716107.05</v>
      </c>
      <c r="BP77" s="14">
        <v>0.03493388201054329</v>
      </c>
      <c r="BQ77" s="74">
        <v>428</v>
      </c>
      <c r="BR77" s="14">
        <v>0.01753451595722889</v>
      </c>
      <c r="BS77" s="56"/>
      <c r="BT77" s="55"/>
      <c r="BU77" s="63"/>
      <c r="BV77" s="75">
        <v>854814.73</v>
      </c>
      <c r="BW77" s="14">
        <v>0.04413925945066891</v>
      </c>
      <c r="BX77" s="74">
        <v>493</v>
      </c>
      <c r="BY77" s="14">
        <v>0.021143371788823605</v>
      </c>
      <c r="BZ77" s="56"/>
      <c r="CA77" s="55"/>
      <c r="CB77" s="63"/>
      <c r="CC77" s="75">
        <v>991358.64</v>
      </c>
      <c r="CD77" s="14">
        <v>0.046933140881942045</v>
      </c>
      <c r="CE77" s="74">
        <v>576</v>
      </c>
      <c r="CF77" s="14">
        <v>0.02367447595561036</v>
      </c>
      <c r="CG77" s="56"/>
      <c r="CH77" s="55"/>
      <c r="CI77" s="63"/>
      <c r="CJ77" s="75">
        <v>1126656.27</v>
      </c>
      <c r="CK77" s="14">
        <v>0.07615963563762022</v>
      </c>
      <c r="CL77" s="74">
        <v>666</v>
      </c>
      <c r="CM77" s="14">
        <v>0.036</v>
      </c>
      <c r="CN77" s="56"/>
      <c r="CO77" s="55"/>
      <c r="CP77" s="63"/>
      <c r="CQ77" s="75">
        <v>1249556.75</v>
      </c>
      <c r="CR77" s="14">
        <v>0.11774117115923728</v>
      </c>
      <c r="CS77" s="74">
        <v>745</v>
      </c>
      <c r="CT77" s="14">
        <v>0.05401682134570766</v>
      </c>
      <c r="CU77" s="56"/>
      <c r="CV77" s="55"/>
      <c r="CW77" s="63"/>
      <c r="CX77" s="75">
        <v>1326031.81</v>
      </c>
      <c r="CY77" s="14">
        <v>0.11867403030607822</v>
      </c>
      <c r="CZ77" s="74">
        <v>791</v>
      </c>
      <c r="DA77" s="14">
        <v>0.059906089063920025</v>
      </c>
      <c r="DB77" s="56"/>
      <c r="DC77" s="55"/>
      <c r="DD77" s="63"/>
    </row>
    <row r="78" spans="1:108" ht="12.75">
      <c r="A78" s="8"/>
      <c r="B78" s="8"/>
      <c r="C78" s="43"/>
      <c r="D78" s="33"/>
      <c r="E78" s="46"/>
      <c r="F78" s="33"/>
      <c r="G78" s="8"/>
      <c r="H78" s="8"/>
      <c r="I78" s="9"/>
      <c r="J78" s="8"/>
      <c r="K78" s="10"/>
      <c r="L78" s="8"/>
      <c r="M78" s="54"/>
      <c r="N78" s="55"/>
      <c r="O78" s="54"/>
      <c r="P78" s="54"/>
      <c r="Q78" s="9"/>
      <c r="R78" s="8"/>
      <c r="S78" s="10"/>
      <c r="T78" s="8"/>
      <c r="U78" s="54"/>
      <c r="V78" s="55"/>
      <c r="W78" s="54"/>
      <c r="X78" s="54"/>
      <c r="Y78" s="9"/>
      <c r="Z78" s="8"/>
      <c r="AA78" s="10"/>
      <c r="AB78" s="8"/>
      <c r="AC78" s="54"/>
      <c r="AD78" s="55"/>
      <c r="AE78" s="54"/>
      <c r="AF78" s="9"/>
      <c r="AG78" s="8"/>
      <c r="AH78" s="10"/>
      <c r="AI78" s="8"/>
      <c r="AJ78" s="54"/>
      <c r="AK78" s="55"/>
      <c r="AL78" s="54"/>
      <c r="AM78" s="9"/>
      <c r="AN78" s="8"/>
      <c r="AO78" s="10"/>
      <c r="AP78" s="8"/>
      <c r="AQ78" s="54"/>
      <c r="AR78" s="55"/>
      <c r="AS78" s="84"/>
      <c r="AT78" s="9"/>
      <c r="AU78" s="8"/>
      <c r="AV78" s="10"/>
      <c r="AW78" s="8"/>
      <c r="AX78" s="54"/>
      <c r="AY78" s="55"/>
      <c r="AZ78" s="84"/>
      <c r="BA78" s="9"/>
      <c r="BB78" s="8"/>
      <c r="BC78" s="10"/>
      <c r="BD78" s="8"/>
      <c r="BE78" s="54"/>
      <c r="BF78" s="55"/>
      <c r="BG78" s="84"/>
      <c r="BH78" s="9"/>
      <c r="BI78" s="8"/>
      <c r="BJ78" s="10"/>
      <c r="BK78" s="8"/>
      <c r="BL78" s="54"/>
      <c r="BM78" s="55"/>
      <c r="BN78" s="84"/>
      <c r="BO78" s="9"/>
      <c r="BP78" s="8"/>
      <c r="BQ78" s="10"/>
      <c r="BR78" s="8"/>
      <c r="BS78" s="54"/>
      <c r="BT78" s="55"/>
      <c r="BU78" s="84"/>
      <c r="BV78" s="9"/>
      <c r="BW78" s="8"/>
      <c r="BX78" s="10"/>
      <c r="BY78" s="8"/>
      <c r="BZ78" s="54"/>
      <c r="CA78" s="55"/>
      <c r="CB78" s="84"/>
      <c r="CC78" s="9"/>
      <c r="CD78" s="8"/>
      <c r="CE78" s="10"/>
      <c r="CF78" s="8"/>
      <c r="CG78" s="54"/>
      <c r="CH78" s="55"/>
      <c r="CI78" s="84"/>
      <c r="CJ78" s="9"/>
      <c r="CK78" s="8"/>
      <c r="CL78" s="10"/>
      <c r="CM78" s="8"/>
      <c r="CN78" s="54"/>
      <c r="CO78" s="55"/>
      <c r="CP78" s="84"/>
      <c r="CQ78" s="9"/>
      <c r="CR78" s="8"/>
      <c r="CS78" s="10"/>
      <c r="CT78" s="8"/>
      <c r="CU78" s="54"/>
      <c r="CV78" s="55"/>
      <c r="CW78" s="84"/>
      <c r="CX78" s="9"/>
      <c r="CY78" s="8"/>
      <c r="CZ78" s="10"/>
      <c r="DA78" s="8"/>
      <c r="DB78" s="54"/>
      <c r="DC78" s="55"/>
      <c r="DD78" s="84"/>
    </row>
    <row r="79" spans="1:108" ht="13.5" thickBot="1">
      <c r="A79" s="8"/>
      <c r="B79" s="8"/>
      <c r="C79" s="78">
        <f>SUM(C69:C77)</f>
        <v>8965339.860000001</v>
      </c>
      <c r="D79" s="33"/>
      <c r="E79" s="79">
        <f>SUM(E69:E77)</f>
        <v>8462</v>
      </c>
      <c r="F79" s="33"/>
      <c r="G79" s="8"/>
      <c r="H79" s="8"/>
      <c r="I79" s="21">
        <f>SUM(I69:I77)</f>
        <v>6823733.6899999995</v>
      </c>
      <c r="J79" s="12"/>
      <c r="K79" s="22">
        <f>SUM(K69:K77)</f>
        <v>8177</v>
      </c>
      <c r="L79" s="23"/>
      <c r="M79" s="53"/>
      <c r="N79" s="31"/>
      <c r="O79" s="57"/>
      <c r="P79" s="57"/>
      <c r="Q79" s="21">
        <f>SUM(Q69:Q77)</f>
        <v>22500059.080000386</v>
      </c>
      <c r="R79" s="12"/>
      <c r="S79" s="22">
        <f>SUM(S69:S77)</f>
        <v>24533</v>
      </c>
      <c r="T79" s="23"/>
      <c r="U79" s="53"/>
      <c r="V79" s="31"/>
      <c r="W79" s="57"/>
      <c r="X79" s="57"/>
      <c r="Y79" s="21">
        <f>SUM(Y69:Y77)</f>
        <v>24312458.11999996</v>
      </c>
      <c r="Z79" s="12"/>
      <c r="AA79" s="22">
        <f>SUM(AA69:AA77)</f>
        <v>27325</v>
      </c>
      <c r="AB79" s="23"/>
      <c r="AC79" s="53"/>
      <c r="AD79" s="31"/>
      <c r="AE79" s="57"/>
      <c r="AF79" s="21">
        <f>SUM(AF69:AF77)</f>
        <v>22034320.74999991</v>
      </c>
      <c r="AG79" s="12"/>
      <c r="AH79" s="22">
        <f>SUM(AH69:AH77)</f>
        <v>25617</v>
      </c>
      <c r="AI79" s="23"/>
      <c r="AJ79" s="53"/>
      <c r="AK79" s="31"/>
      <c r="AL79" s="57"/>
      <c r="AM79" s="21">
        <f>SUM(AM69:AM77)</f>
        <v>22963600.260000367</v>
      </c>
      <c r="AN79" s="12"/>
      <c r="AO79" s="22">
        <f>SUM(AO69:AO77)</f>
        <v>26899</v>
      </c>
      <c r="AP79" s="23"/>
      <c r="AQ79" s="53"/>
      <c r="AR79" s="31"/>
      <c r="AS79" s="57"/>
      <c r="AT79" s="21">
        <f>SUM(AT69:AT77)</f>
        <v>22629539.93000014</v>
      </c>
      <c r="AU79" s="12"/>
      <c r="AV79" s="22">
        <f>SUM(AV69:AV77)</f>
        <v>26050</v>
      </c>
      <c r="AW79" s="23"/>
      <c r="AX79" s="53"/>
      <c r="AY79" s="31"/>
      <c r="AZ79" s="57"/>
      <c r="BA79" s="21">
        <f>SUM(BA69:BA77)</f>
        <v>22999564.23</v>
      </c>
      <c r="BB79" s="12"/>
      <c r="BC79" s="22">
        <f>SUM(BC69:BC77)</f>
        <v>27429</v>
      </c>
      <c r="BD79" s="23"/>
      <c r="BE79" s="53"/>
      <c r="BF79" s="31"/>
      <c r="BG79" s="57"/>
      <c r="BH79" s="21">
        <f>SUM(BH69:BH77)</f>
        <v>23147629.30000012</v>
      </c>
      <c r="BI79" s="12"/>
      <c r="BJ79" s="22">
        <f>SUM(BJ69:BJ77)</f>
        <v>27353</v>
      </c>
      <c r="BK79" s="23"/>
      <c r="BL79" s="53"/>
      <c r="BM79" s="31"/>
      <c r="BN79" s="57"/>
      <c r="BO79" s="21">
        <f>SUM(BO69:BO77)</f>
        <v>20498925.650000013</v>
      </c>
      <c r="BP79" s="12"/>
      <c r="BQ79" s="22">
        <f>SUM(BQ69:BQ77)</f>
        <v>24409</v>
      </c>
      <c r="BR79" s="23"/>
      <c r="BS79" s="53"/>
      <c r="BT79" s="31"/>
      <c r="BU79" s="57"/>
      <c r="BV79" s="21">
        <f>SUM(BV69:BV77)</f>
        <v>19366313.360000093</v>
      </c>
      <c r="BW79" s="12"/>
      <c r="BX79" s="22">
        <f>SUM(BX69:BX77)</f>
        <v>23317</v>
      </c>
      <c r="BY79" s="23"/>
      <c r="BZ79" s="53"/>
      <c r="CA79" s="31"/>
      <c r="CB79" s="57"/>
      <c r="CC79" s="21">
        <f>SUM(CC69:CC77)</f>
        <v>21122784.91000022</v>
      </c>
      <c r="CD79" s="12"/>
      <c r="CE79" s="22">
        <f>SUM(CE69:CE77)</f>
        <v>24330</v>
      </c>
      <c r="CF79" s="23"/>
      <c r="CG79" s="53"/>
      <c r="CH79" s="31"/>
      <c r="CI79" s="57"/>
      <c r="CJ79" s="21">
        <f>SUM(CJ69:CJ77)</f>
        <v>14793351.630000053</v>
      </c>
      <c r="CK79" s="12"/>
      <c r="CL79" s="22">
        <f>SUM(CL69:CL77)</f>
        <v>18500</v>
      </c>
      <c r="CM79" s="23"/>
      <c r="CN79" s="53"/>
      <c r="CO79" s="31"/>
      <c r="CP79" s="57"/>
      <c r="CQ79" s="21">
        <f>SUM(CQ69:CQ77)</f>
        <v>10612742.660000006</v>
      </c>
      <c r="CR79" s="12"/>
      <c r="CS79" s="22">
        <f>SUM(CS69:CS77)</f>
        <v>13792</v>
      </c>
      <c r="CT79" s="23"/>
      <c r="CU79" s="53"/>
      <c r="CV79" s="31"/>
      <c r="CW79" s="57"/>
      <c r="CX79" s="21">
        <f>SUM(CX69:CX77)</f>
        <v>11173732.000000028</v>
      </c>
      <c r="CY79" s="12"/>
      <c r="CZ79" s="22">
        <f>SUM(CZ69:CZ77)</f>
        <v>13204</v>
      </c>
      <c r="DA79" s="23"/>
      <c r="DB79" s="53"/>
      <c r="DC79" s="31"/>
      <c r="DD79" s="57"/>
    </row>
    <row r="80" spans="1:108" ht="13.5" thickTop="1">
      <c r="A80" s="8"/>
      <c r="B80" s="8"/>
      <c r="C80" s="43"/>
      <c r="D80" s="33"/>
      <c r="E80" s="43"/>
      <c r="F80" s="33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</row>
    <row r="81" spans="1:108" ht="12.75">
      <c r="A81" s="19" t="s">
        <v>137</v>
      </c>
      <c r="B81" s="8"/>
      <c r="C81" s="43"/>
      <c r="D81" s="33"/>
      <c r="E81" s="43"/>
      <c r="F81" s="33"/>
      <c r="G81" s="8"/>
      <c r="H81" s="8"/>
      <c r="I81" s="19" t="s">
        <v>137</v>
      </c>
      <c r="J81" s="8"/>
      <c r="K81" s="8"/>
      <c r="L81" s="8"/>
      <c r="M81" s="8"/>
      <c r="N81" s="8"/>
      <c r="O81" s="8"/>
      <c r="P81" s="8"/>
      <c r="Q81" s="19" t="s">
        <v>137</v>
      </c>
      <c r="R81" s="8"/>
      <c r="S81" s="8"/>
      <c r="T81" s="8"/>
      <c r="U81" s="8"/>
      <c r="V81" s="8"/>
      <c r="W81" s="8"/>
      <c r="X81" s="8"/>
      <c r="Y81" s="19" t="s">
        <v>137</v>
      </c>
      <c r="Z81" s="8"/>
      <c r="AA81" s="8"/>
      <c r="AB81" s="8"/>
      <c r="AC81" s="8"/>
      <c r="AD81" s="8"/>
      <c r="AE81" s="8"/>
      <c r="AF81" s="19" t="s">
        <v>137</v>
      </c>
      <c r="AG81" s="8"/>
      <c r="AH81" s="8"/>
      <c r="AI81" s="8"/>
      <c r="AJ81" s="8"/>
      <c r="AK81" s="8"/>
      <c r="AL81" s="8"/>
      <c r="AM81" s="19" t="s">
        <v>137</v>
      </c>
      <c r="AN81" s="8"/>
      <c r="AO81" s="8"/>
      <c r="AP81" s="8"/>
      <c r="AQ81" s="8"/>
      <c r="AR81" s="8"/>
      <c r="AS81" s="8"/>
      <c r="AT81" s="19" t="s">
        <v>137</v>
      </c>
      <c r="AU81" s="8"/>
      <c r="AV81" s="8"/>
      <c r="AW81" s="8"/>
      <c r="AX81" s="8"/>
      <c r="AY81" s="8"/>
      <c r="AZ81" s="8"/>
      <c r="BA81" s="19" t="s">
        <v>137</v>
      </c>
      <c r="BB81" s="8"/>
      <c r="BC81" s="8"/>
      <c r="BD81" s="8"/>
      <c r="BE81" s="8"/>
      <c r="BF81" s="8"/>
      <c r="BG81" s="8"/>
      <c r="BH81" s="19" t="s">
        <v>137</v>
      </c>
      <c r="BI81" s="8"/>
      <c r="BJ81" s="8"/>
      <c r="BK81" s="8"/>
      <c r="BL81" s="8"/>
      <c r="BM81" s="8"/>
      <c r="BN81" s="8"/>
      <c r="BO81" s="19" t="s">
        <v>137</v>
      </c>
      <c r="BP81" s="8"/>
      <c r="BQ81" s="8"/>
      <c r="BR81" s="8"/>
      <c r="BS81" s="8"/>
      <c r="BT81" s="8"/>
      <c r="BU81" s="8"/>
      <c r="BV81" s="19" t="s">
        <v>137</v>
      </c>
      <c r="BW81" s="8"/>
      <c r="BX81" s="8"/>
      <c r="BY81" s="8"/>
      <c r="BZ81" s="8"/>
      <c r="CA81" s="8"/>
      <c r="CB81" s="8"/>
      <c r="CC81" s="19" t="s">
        <v>137</v>
      </c>
      <c r="CD81" s="8"/>
      <c r="CE81" s="8"/>
      <c r="CF81" s="8"/>
      <c r="CG81" s="8"/>
      <c r="CH81" s="8"/>
      <c r="CI81" s="8"/>
      <c r="CJ81" s="19" t="s">
        <v>137</v>
      </c>
      <c r="CK81" s="8"/>
      <c r="CL81" s="8"/>
      <c r="CM81" s="8"/>
      <c r="CN81" s="8"/>
      <c r="CO81" s="8"/>
      <c r="CP81" s="8"/>
      <c r="CQ81" s="19" t="s">
        <v>137</v>
      </c>
      <c r="CR81" s="8"/>
      <c r="CS81" s="8"/>
      <c r="CT81" s="8"/>
      <c r="CU81" s="8"/>
      <c r="CV81" s="8"/>
      <c r="CW81" s="8"/>
      <c r="CX81" s="19" t="s">
        <v>137</v>
      </c>
      <c r="CY81" s="8"/>
      <c r="CZ81" s="8"/>
      <c r="DA81" s="8"/>
      <c r="DB81" s="8"/>
      <c r="DC81" s="8"/>
      <c r="DD81" s="8"/>
    </row>
    <row r="82" spans="1:108" ht="12.75">
      <c r="A82" s="8"/>
      <c r="B82" s="8"/>
      <c r="C82" s="43"/>
      <c r="D82" s="33"/>
      <c r="E82" s="43"/>
      <c r="F82" s="33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</row>
    <row r="83" spans="1:108" ht="12.75">
      <c r="A83" s="8" t="s">
        <v>112</v>
      </c>
      <c r="B83" s="8"/>
      <c r="C83" s="8"/>
      <c r="D83" s="8"/>
      <c r="E83" s="8"/>
      <c r="F83" s="8"/>
      <c r="G83" s="8"/>
      <c r="H83" s="8"/>
      <c r="I83" s="8" t="s">
        <v>112</v>
      </c>
      <c r="J83" s="8"/>
      <c r="K83" s="8"/>
      <c r="L83" s="9"/>
      <c r="M83" s="8"/>
      <c r="N83" s="10"/>
      <c r="O83" s="8"/>
      <c r="P83" s="8"/>
      <c r="Q83" s="8" t="s">
        <v>112</v>
      </c>
      <c r="R83" s="8"/>
      <c r="S83" s="8"/>
      <c r="T83" s="9"/>
      <c r="U83" s="8"/>
      <c r="V83" s="10"/>
      <c r="W83" s="8"/>
      <c r="X83" s="8"/>
      <c r="Y83" s="8" t="s">
        <v>112</v>
      </c>
      <c r="Z83" s="8"/>
      <c r="AA83" s="8"/>
      <c r="AB83" s="9"/>
      <c r="AC83" s="8"/>
      <c r="AD83" s="10"/>
      <c r="AE83" s="8"/>
      <c r="AF83" s="8" t="s">
        <v>112</v>
      </c>
      <c r="AG83" s="8"/>
      <c r="AH83" s="8"/>
      <c r="AI83" s="9"/>
      <c r="AJ83" s="8"/>
      <c r="AK83" s="10"/>
      <c r="AL83" s="8"/>
      <c r="AM83" s="8" t="s">
        <v>112</v>
      </c>
      <c r="AN83" s="8"/>
      <c r="AO83" s="8"/>
      <c r="AP83" s="9"/>
      <c r="AQ83" s="8"/>
      <c r="AR83" s="10"/>
      <c r="AS83" s="8"/>
      <c r="AT83" s="8" t="s">
        <v>112</v>
      </c>
      <c r="AU83" s="8"/>
      <c r="AV83" s="8"/>
      <c r="AW83" s="9"/>
      <c r="AX83" s="8"/>
      <c r="AY83" s="10"/>
      <c r="AZ83" s="8"/>
      <c r="BA83" s="8" t="s">
        <v>112</v>
      </c>
      <c r="BB83" s="8"/>
      <c r="BC83" s="8"/>
      <c r="BD83" s="9"/>
      <c r="BE83" s="8"/>
      <c r="BF83" s="10"/>
      <c r="BG83" s="8"/>
      <c r="BH83" s="8" t="s">
        <v>112</v>
      </c>
      <c r="BI83" s="8"/>
      <c r="BJ83" s="8"/>
      <c r="BK83" s="9"/>
      <c r="BL83" s="8"/>
      <c r="BM83" s="10"/>
      <c r="BN83" s="8"/>
      <c r="BO83" s="8" t="s">
        <v>112</v>
      </c>
      <c r="BP83" s="8"/>
      <c r="BQ83" s="8"/>
      <c r="BR83" s="9"/>
      <c r="BS83" s="8"/>
      <c r="BT83" s="10"/>
      <c r="BU83" s="8"/>
      <c r="BV83" s="8" t="s">
        <v>112</v>
      </c>
      <c r="BW83" s="8"/>
      <c r="BX83" s="8"/>
      <c r="BY83" s="9"/>
      <c r="BZ83" s="8"/>
      <c r="CA83" s="10"/>
      <c r="CB83" s="8"/>
      <c r="CC83" s="8" t="s">
        <v>112</v>
      </c>
      <c r="CD83" s="8"/>
      <c r="CE83" s="8"/>
      <c r="CF83" s="9"/>
      <c r="CG83" s="8"/>
      <c r="CH83" s="10"/>
      <c r="CI83" s="8"/>
      <c r="CJ83" s="8" t="s">
        <v>112</v>
      </c>
      <c r="CK83" s="8"/>
      <c r="CL83" s="8"/>
      <c r="CM83" s="9"/>
      <c r="CN83" s="8"/>
      <c r="CO83" s="10"/>
      <c r="CP83" s="8"/>
      <c r="CQ83" s="8" t="s">
        <v>112</v>
      </c>
      <c r="CR83" s="8"/>
      <c r="CS83" s="8"/>
      <c r="CT83" s="9"/>
      <c r="CU83" s="8"/>
      <c r="CV83" s="10"/>
      <c r="CW83" s="8"/>
      <c r="CX83" s="8" t="s">
        <v>112</v>
      </c>
      <c r="CY83" s="8"/>
      <c r="CZ83" s="8"/>
      <c r="DA83" s="9"/>
      <c r="DB83" s="8"/>
      <c r="DC83" s="10"/>
      <c r="DD83" s="8"/>
    </row>
    <row r="84" spans="1:108" ht="12.75">
      <c r="A84" s="8"/>
      <c r="B84" s="8"/>
      <c r="C84" s="8"/>
      <c r="D84" s="8"/>
      <c r="E84" s="8"/>
      <c r="F84" s="8"/>
      <c r="G84" s="8"/>
      <c r="H84" s="8"/>
      <c r="I84" s="19"/>
      <c r="J84" s="8"/>
      <c r="K84" s="8"/>
      <c r="L84" s="9"/>
      <c r="M84" s="8"/>
      <c r="N84" s="10"/>
      <c r="O84" s="8"/>
      <c r="P84" s="8"/>
      <c r="Q84" s="19"/>
      <c r="R84" s="8"/>
      <c r="S84" s="8"/>
      <c r="T84" s="9"/>
      <c r="U84" s="8"/>
      <c r="V84" s="10"/>
      <c r="W84" s="8"/>
      <c r="X84" s="8"/>
      <c r="Y84" s="19"/>
      <c r="Z84" s="8"/>
      <c r="AA84" s="8"/>
      <c r="AB84" s="9"/>
      <c r="AC84" s="8"/>
      <c r="AD84" s="10"/>
      <c r="AE84" s="8"/>
      <c r="AF84" s="19"/>
      <c r="AG84" s="8"/>
      <c r="AH84" s="8"/>
      <c r="AI84" s="9"/>
      <c r="AJ84" s="8"/>
      <c r="AK84" s="10"/>
      <c r="AL84" s="8"/>
      <c r="AM84" s="19"/>
      <c r="AN84" s="8"/>
      <c r="AO84" s="8"/>
      <c r="AP84" s="9"/>
      <c r="AQ84" s="8"/>
      <c r="AR84" s="10"/>
      <c r="AS84" s="8"/>
      <c r="AT84" s="19"/>
      <c r="AU84" s="8"/>
      <c r="AV84" s="8"/>
      <c r="AW84" s="9"/>
      <c r="AX84" s="8"/>
      <c r="AY84" s="10"/>
      <c r="AZ84" s="8"/>
      <c r="BA84" s="19"/>
      <c r="BB84" s="8"/>
      <c r="BC84" s="8"/>
      <c r="BD84" s="9"/>
      <c r="BE84" s="8"/>
      <c r="BF84" s="10"/>
      <c r="BG84" s="8"/>
      <c r="BH84" s="19"/>
      <c r="BI84" s="8"/>
      <c r="BJ84" s="8"/>
      <c r="BK84" s="9"/>
      <c r="BL84" s="8"/>
      <c r="BM84" s="10"/>
      <c r="BN84" s="8"/>
      <c r="BO84" s="19"/>
      <c r="BP84" s="8"/>
      <c r="BQ84" s="8"/>
      <c r="BR84" s="9"/>
      <c r="BS84" s="8"/>
      <c r="BT84" s="10"/>
      <c r="BU84" s="8"/>
      <c r="BV84" s="19"/>
      <c r="BW84" s="8"/>
      <c r="BX84" s="8"/>
      <c r="BY84" s="9"/>
      <c r="BZ84" s="8"/>
      <c r="CA84" s="10"/>
      <c r="CB84" s="8"/>
      <c r="CC84" s="19"/>
      <c r="CD84" s="8"/>
      <c r="CE84" s="8"/>
      <c r="CF84" s="9"/>
      <c r="CG84" s="8"/>
      <c r="CH84" s="10"/>
      <c r="CI84" s="8"/>
      <c r="CJ84" s="19"/>
      <c r="CK84" s="8"/>
      <c r="CL84" s="8"/>
      <c r="CM84" s="9"/>
      <c r="CN84" s="8"/>
      <c r="CO84" s="10"/>
      <c r="CP84" s="8"/>
      <c r="CQ84" s="19"/>
      <c r="CR84" s="8"/>
      <c r="CS84" s="8"/>
      <c r="CT84" s="9"/>
      <c r="CU84" s="8"/>
      <c r="CV84" s="10"/>
      <c r="CW84" s="8"/>
      <c r="CX84" s="19"/>
      <c r="CY84" s="8"/>
      <c r="CZ84" s="8"/>
      <c r="DA84" s="9"/>
      <c r="DB84" s="8"/>
      <c r="DC84" s="10"/>
      <c r="DD84" s="8"/>
    </row>
    <row r="85" spans="1:108" s="45" customFormat="1" ht="12.75">
      <c r="A85" s="26"/>
      <c r="B85" s="26"/>
      <c r="C85" s="26" t="s">
        <v>99</v>
      </c>
      <c r="D85" s="26" t="s">
        <v>100</v>
      </c>
      <c r="E85" s="26" t="s">
        <v>101</v>
      </c>
      <c r="F85" s="26" t="s">
        <v>100</v>
      </c>
      <c r="G85" s="26"/>
      <c r="H85" s="26"/>
      <c r="I85" s="26" t="s">
        <v>99</v>
      </c>
      <c r="J85" s="44" t="s">
        <v>100</v>
      </c>
      <c r="K85" s="26" t="s">
        <v>101</v>
      </c>
      <c r="L85" s="26" t="s">
        <v>100</v>
      </c>
      <c r="M85" s="72"/>
      <c r="N85" s="64"/>
      <c r="O85" s="64"/>
      <c r="P85" s="64"/>
      <c r="Q85" s="26" t="s">
        <v>99</v>
      </c>
      <c r="R85" s="44" t="s">
        <v>100</v>
      </c>
      <c r="S85" s="26" t="s">
        <v>101</v>
      </c>
      <c r="T85" s="26" t="s">
        <v>100</v>
      </c>
      <c r="U85" s="72"/>
      <c r="V85" s="64"/>
      <c r="W85" s="64"/>
      <c r="X85" s="64"/>
      <c r="Y85" s="26" t="s">
        <v>99</v>
      </c>
      <c r="Z85" s="44" t="s">
        <v>100</v>
      </c>
      <c r="AA85" s="26" t="s">
        <v>101</v>
      </c>
      <c r="AB85" s="26" t="s">
        <v>100</v>
      </c>
      <c r="AC85" s="72"/>
      <c r="AD85" s="64"/>
      <c r="AE85" s="64"/>
      <c r="AF85" s="26" t="s">
        <v>99</v>
      </c>
      <c r="AG85" s="44" t="s">
        <v>100</v>
      </c>
      <c r="AH85" s="26" t="s">
        <v>101</v>
      </c>
      <c r="AI85" s="26" t="s">
        <v>100</v>
      </c>
      <c r="AJ85" s="72"/>
      <c r="AK85" s="64"/>
      <c r="AL85" s="64"/>
      <c r="AM85" s="26" t="s">
        <v>99</v>
      </c>
      <c r="AN85" s="44" t="s">
        <v>100</v>
      </c>
      <c r="AO85" s="26" t="s">
        <v>101</v>
      </c>
      <c r="AP85" s="26" t="s">
        <v>100</v>
      </c>
      <c r="AQ85" s="72"/>
      <c r="AR85" s="64"/>
      <c r="AS85" s="64"/>
      <c r="AT85" s="26" t="s">
        <v>99</v>
      </c>
      <c r="AU85" s="44" t="s">
        <v>100</v>
      </c>
      <c r="AV85" s="26" t="s">
        <v>101</v>
      </c>
      <c r="AW85" s="26" t="s">
        <v>100</v>
      </c>
      <c r="AX85" s="72"/>
      <c r="AY85" s="64"/>
      <c r="AZ85" s="64"/>
      <c r="BA85" s="26" t="s">
        <v>99</v>
      </c>
      <c r="BB85" s="44" t="s">
        <v>100</v>
      </c>
      <c r="BC85" s="26" t="s">
        <v>101</v>
      </c>
      <c r="BD85" s="26" t="s">
        <v>100</v>
      </c>
      <c r="BE85" s="72"/>
      <c r="BF85" s="64"/>
      <c r="BG85" s="64"/>
      <c r="BH85" s="44" t="s">
        <v>99</v>
      </c>
      <c r="BI85" s="44" t="s">
        <v>100</v>
      </c>
      <c r="BJ85" s="44" t="s">
        <v>101</v>
      </c>
      <c r="BK85" s="44" t="s">
        <v>100</v>
      </c>
      <c r="BL85" s="72"/>
      <c r="BM85" s="64"/>
      <c r="BN85" s="64"/>
      <c r="BO85" s="44" t="s">
        <v>99</v>
      </c>
      <c r="BP85" s="44" t="s">
        <v>100</v>
      </c>
      <c r="BQ85" s="44" t="s">
        <v>101</v>
      </c>
      <c r="BR85" s="44" t="s">
        <v>100</v>
      </c>
      <c r="BS85" s="72"/>
      <c r="BT85" s="64"/>
      <c r="BU85" s="64"/>
      <c r="BV85" s="44" t="s">
        <v>99</v>
      </c>
      <c r="BW85" s="44" t="s">
        <v>100</v>
      </c>
      <c r="BX85" s="44" t="s">
        <v>101</v>
      </c>
      <c r="BY85" s="44" t="s">
        <v>100</v>
      </c>
      <c r="BZ85" s="72"/>
      <c r="CA85" s="64"/>
      <c r="CB85" s="64"/>
      <c r="CC85" s="44" t="s">
        <v>99</v>
      </c>
      <c r="CD85" s="44" t="s">
        <v>100</v>
      </c>
      <c r="CE85" s="44" t="s">
        <v>101</v>
      </c>
      <c r="CF85" s="44" t="s">
        <v>100</v>
      </c>
      <c r="CG85" s="72"/>
      <c r="CH85" s="64"/>
      <c r="CI85" s="64"/>
      <c r="CJ85" s="44" t="s">
        <v>99</v>
      </c>
      <c r="CK85" s="44" t="s">
        <v>100</v>
      </c>
      <c r="CL85" s="44" t="s">
        <v>101</v>
      </c>
      <c r="CM85" s="44" t="s">
        <v>100</v>
      </c>
      <c r="CN85" s="72"/>
      <c r="CO85" s="64"/>
      <c r="CP85" s="64"/>
      <c r="CQ85" s="44" t="s">
        <v>99</v>
      </c>
      <c r="CR85" s="44" t="s">
        <v>100</v>
      </c>
      <c r="CS85" s="44" t="s">
        <v>101</v>
      </c>
      <c r="CT85" s="44" t="s">
        <v>100</v>
      </c>
      <c r="CU85" s="72"/>
      <c r="CV85" s="64"/>
      <c r="CW85" s="64"/>
      <c r="CX85" s="44" t="s">
        <v>99</v>
      </c>
      <c r="CY85" s="44" t="s">
        <v>100</v>
      </c>
      <c r="CZ85" s="44" t="s">
        <v>101</v>
      </c>
      <c r="DA85" s="44" t="s">
        <v>100</v>
      </c>
      <c r="DB85" s="72"/>
      <c r="DC85" s="64"/>
      <c r="DD85" s="64"/>
    </row>
    <row r="86" spans="1:108" ht="12.75">
      <c r="A86" s="8"/>
      <c r="B86" s="8"/>
      <c r="C86" s="8"/>
      <c r="D86" s="8"/>
      <c r="E86" s="8"/>
      <c r="F86" s="8"/>
      <c r="G86" s="8"/>
      <c r="H86" s="8"/>
      <c r="I86" s="9"/>
      <c r="J86" s="8"/>
      <c r="K86" s="10"/>
      <c r="L86" s="8"/>
      <c r="M86" s="54"/>
      <c r="N86" s="55"/>
      <c r="O86" s="54"/>
      <c r="P86" s="54"/>
      <c r="Q86" s="9"/>
      <c r="R86" s="8"/>
      <c r="S86" s="10"/>
      <c r="T86" s="8"/>
      <c r="U86" s="54"/>
      <c r="V86" s="55"/>
      <c r="W86" s="54"/>
      <c r="X86" s="54"/>
      <c r="Y86" s="9"/>
      <c r="Z86" s="8"/>
      <c r="AA86" s="10"/>
      <c r="AB86" s="8"/>
      <c r="AC86" s="54"/>
      <c r="AD86" s="55"/>
      <c r="AE86" s="54"/>
      <c r="AF86" s="9"/>
      <c r="AG86" s="8"/>
      <c r="AH86" s="10"/>
      <c r="AI86" s="8"/>
      <c r="AJ86" s="54"/>
      <c r="AK86" s="55"/>
      <c r="AL86" s="54"/>
      <c r="AM86" s="9"/>
      <c r="AN86" s="8"/>
      <c r="AO86" s="10"/>
      <c r="AP86" s="8"/>
      <c r="AQ86" s="54"/>
      <c r="AR86" s="55"/>
      <c r="AS86" s="54"/>
      <c r="AT86" s="9"/>
      <c r="AU86" s="8"/>
      <c r="AV86" s="10"/>
      <c r="AW86" s="8"/>
      <c r="AX86" s="54"/>
      <c r="AY86" s="55"/>
      <c r="AZ86" s="54"/>
      <c r="BA86" s="9"/>
      <c r="BB86" s="8"/>
      <c r="BC86" s="10"/>
      <c r="BD86" s="8"/>
      <c r="BE86" s="54"/>
      <c r="BF86" s="55"/>
      <c r="BG86" s="54"/>
      <c r="BH86" s="9"/>
      <c r="BI86" s="8"/>
      <c r="BJ86" s="10"/>
      <c r="BK86" s="8"/>
      <c r="BL86" s="54"/>
      <c r="BM86" s="55"/>
      <c r="BN86" s="54"/>
      <c r="BO86" s="9"/>
      <c r="BP86" s="8"/>
      <c r="BQ86" s="10"/>
      <c r="BR86" s="8"/>
      <c r="BS86" s="54"/>
      <c r="BT86" s="55"/>
      <c r="BU86" s="54"/>
      <c r="BV86" s="9"/>
      <c r="BW86" s="8"/>
      <c r="BX86" s="10"/>
      <c r="BY86" s="8"/>
      <c r="BZ86" s="54"/>
      <c r="CA86" s="55"/>
      <c r="CB86" s="54"/>
      <c r="CC86" s="9"/>
      <c r="CD86" s="8"/>
      <c r="CE86" s="10"/>
      <c r="CF86" s="8"/>
      <c r="CG86" s="54"/>
      <c r="CH86" s="55"/>
      <c r="CI86" s="54"/>
      <c r="CJ86" s="9"/>
      <c r="CK86" s="8"/>
      <c r="CL86" s="10"/>
      <c r="CM86" s="8"/>
      <c r="CN86" s="54"/>
      <c r="CO86" s="55"/>
      <c r="CP86" s="54"/>
      <c r="CQ86" s="9"/>
      <c r="CR86" s="8"/>
      <c r="CS86" s="10"/>
      <c r="CT86" s="8"/>
      <c r="CU86" s="54"/>
      <c r="CV86" s="55"/>
      <c r="CW86" s="54"/>
      <c r="CX86" s="9"/>
      <c r="CY86" s="8"/>
      <c r="CZ86" s="10"/>
      <c r="DA86" s="8"/>
      <c r="DB86" s="54"/>
      <c r="DC86" s="55"/>
      <c r="DD86" s="54"/>
    </row>
    <row r="87" spans="1:108" ht="12.75">
      <c r="A87" s="8" t="s">
        <v>43</v>
      </c>
      <c r="B87" s="8"/>
      <c r="C87" s="43">
        <v>25268007.31</v>
      </c>
      <c r="D87" s="33">
        <f>+C87/C97</f>
        <v>0.982056333052912</v>
      </c>
      <c r="E87" s="46">
        <v>1822</v>
      </c>
      <c r="F87" s="33">
        <f>+E87/E97</f>
        <v>0.9806243272335845</v>
      </c>
      <c r="G87" s="33"/>
      <c r="H87" s="33"/>
      <c r="I87" s="9">
        <v>24024972.57</v>
      </c>
      <c r="J87" s="14">
        <f>+I87/I97</f>
        <v>0.982372465005149</v>
      </c>
      <c r="K87" s="74">
        <v>1747</v>
      </c>
      <c r="L87" s="14">
        <f>+K87/K97</f>
        <v>0.9765231973169368</v>
      </c>
      <c r="M87" s="56"/>
      <c r="N87" s="55"/>
      <c r="O87" s="56"/>
      <c r="P87" s="56"/>
      <c r="Q87" s="9">
        <v>58094745</v>
      </c>
      <c r="R87" s="14">
        <f>+Q87/$Q$97</f>
        <v>0.9846752809115227</v>
      </c>
      <c r="S87" s="74">
        <v>4113</v>
      </c>
      <c r="T87" s="14">
        <f>+S87/$S$97</f>
        <v>0.9804529201430274</v>
      </c>
      <c r="U87" s="56"/>
      <c r="V87" s="55"/>
      <c r="W87" s="56"/>
      <c r="X87" s="56"/>
      <c r="Y87" s="9">
        <v>61051024.74</v>
      </c>
      <c r="Z87" s="14">
        <v>0.9673927006208702</v>
      </c>
      <c r="AA87" s="74">
        <v>4224</v>
      </c>
      <c r="AB87" s="14">
        <v>0.9670903313663186</v>
      </c>
      <c r="AC87" s="56"/>
      <c r="AD87" s="55"/>
      <c r="AE87" s="56"/>
      <c r="AF87" s="9">
        <v>62124777.22</v>
      </c>
      <c r="AG87" s="14">
        <v>0.9636283222498746</v>
      </c>
      <c r="AH87" s="74">
        <v>4230</v>
      </c>
      <c r="AI87" s="14">
        <v>0.9644533869885983</v>
      </c>
      <c r="AJ87" s="56"/>
      <c r="AK87" s="55"/>
      <c r="AL87" s="56"/>
      <c r="AM87" s="9">
        <v>53466089.13</v>
      </c>
      <c r="AN87" s="14">
        <f>+AM87/$AM$97</f>
        <v>0.9562832222885916</v>
      </c>
      <c r="AO87" s="74">
        <v>3714</v>
      </c>
      <c r="AP87" s="14">
        <f>+AO87/$AO$97</f>
        <v>0.9259536275243081</v>
      </c>
      <c r="AQ87" s="56"/>
      <c r="AR87" s="55"/>
      <c r="AS87" s="56"/>
      <c r="AT87" s="9">
        <v>43951537.57</v>
      </c>
      <c r="AU87" s="14">
        <f>+AT87/$AT$97</f>
        <v>0.9554633802531852</v>
      </c>
      <c r="AV87" s="74">
        <v>3172</v>
      </c>
      <c r="AW87" s="14">
        <f>+AV87/$AV$97</f>
        <v>0.9099254159495124</v>
      </c>
      <c r="AX87" s="56"/>
      <c r="AY87" s="55"/>
      <c r="AZ87" s="56"/>
      <c r="BA87" s="9">
        <v>70568924.75</v>
      </c>
      <c r="BB87" s="14">
        <f>+BA87/$BA$97</f>
        <v>0.9681830102255012</v>
      </c>
      <c r="BC87" s="74">
        <v>4111</v>
      </c>
      <c r="BD87" s="14">
        <f>+BC87/$BC$97</f>
        <v>0.9123391034176653</v>
      </c>
      <c r="BE87" s="56"/>
      <c r="BF87" s="55"/>
      <c r="BG87" s="56"/>
      <c r="BH87" s="9">
        <v>63236732.79000012</v>
      </c>
      <c r="BI87" s="14">
        <v>0.9551254912426702</v>
      </c>
      <c r="BJ87" s="74">
        <v>3688</v>
      </c>
      <c r="BK87" s="14">
        <v>0.9551929551929552</v>
      </c>
      <c r="BL87" s="56"/>
      <c r="BM87" s="55"/>
      <c r="BN87" s="56"/>
      <c r="BO87" s="9">
        <v>61603327.66</v>
      </c>
      <c r="BP87" s="14">
        <v>0.9460951047957664</v>
      </c>
      <c r="BQ87" s="74">
        <v>3510</v>
      </c>
      <c r="BR87" s="14">
        <v>0.9501894964807797</v>
      </c>
      <c r="BS87" s="56"/>
      <c r="BT87" s="55"/>
      <c r="BU87" s="56"/>
      <c r="BV87" s="9">
        <v>86659241.10000008</v>
      </c>
      <c r="BW87" s="14">
        <v>0.9626031494166033</v>
      </c>
      <c r="BX87" s="74">
        <v>4439</v>
      </c>
      <c r="BY87" s="14">
        <v>0.9610305260878979</v>
      </c>
      <c r="BZ87" s="56"/>
      <c r="CA87" s="55"/>
      <c r="CB87" s="56"/>
      <c r="CC87" s="9">
        <v>91345014.18999988</v>
      </c>
      <c r="CD87" s="14">
        <v>0.9585803780477408</v>
      </c>
      <c r="CE87" s="74">
        <v>4530</v>
      </c>
      <c r="CF87" s="14">
        <v>0.959542469815717</v>
      </c>
      <c r="CG87" s="56"/>
      <c r="CH87" s="55"/>
      <c r="CI87" s="56"/>
      <c r="CJ87" s="9">
        <v>94966846.61999997</v>
      </c>
      <c r="CK87" s="14">
        <v>0.9603163291040779</v>
      </c>
      <c r="CL87" s="74">
        <v>4569</v>
      </c>
      <c r="CM87" s="14">
        <v>0.9606812447434819</v>
      </c>
      <c r="CN87" s="56"/>
      <c r="CO87" s="55"/>
      <c r="CP87" s="56"/>
      <c r="CQ87" s="9">
        <v>98651243.7200002</v>
      </c>
      <c r="CR87" s="14">
        <v>0.9584306585132272</v>
      </c>
      <c r="CS87" s="74">
        <v>4590</v>
      </c>
      <c r="CT87" s="14">
        <v>0.9600501987032002</v>
      </c>
      <c r="CU87" s="56"/>
      <c r="CV87" s="55"/>
      <c r="CW87" s="56"/>
      <c r="CX87" s="9">
        <v>102877237.80999993</v>
      </c>
      <c r="CY87" s="14">
        <v>0.9527807420651468</v>
      </c>
      <c r="CZ87" s="74">
        <v>4611</v>
      </c>
      <c r="DA87" s="14">
        <v>0.9540657976412167</v>
      </c>
      <c r="DB87" s="56"/>
      <c r="DC87" s="55"/>
      <c r="DD87" s="56"/>
    </row>
    <row r="88" spans="1:108" ht="12.75">
      <c r="A88" s="8" t="s">
        <v>44</v>
      </c>
      <c r="B88" s="8"/>
      <c r="C88" s="43">
        <v>268310.66</v>
      </c>
      <c r="D88" s="33">
        <f>+C88/$C$97</f>
        <v>0.010428055510903943</v>
      </c>
      <c r="E88" s="46">
        <v>22</v>
      </c>
      <c r="F88" s="33">
        <f>+E88/$E$97</f>
        <v>0.011840688912809472</v>
      </c>
      <c r="G88" s="33"/>
      <c r="H88" s="33"/>
      <c r="I88" s="9">
        <v>235641.57</v>
      </c>
      <c r="J88" s="14">
        <f>+I88/$I$97</f>
        <v>0.009635298825175031</v>
      </c>
      <c r="K88" s="74">
        <v>22</v>
      </c>
      <c r="L88" s="14">
        <f>+K88/$K$97</f>
        <v>0.012297372833985467</v>
      </c>
      <c r="M88" s="56"/>
      <c r="N88" s="55"/>
      <c r="O88" s="56"/>
      <c r="P88" s="56"/>
      <c r="Q88" s="9">
        <v>544721.34</v>
      </c>
      <c r="R88" s="14">
        <f aca="true" t="shared" si="46" ref="R88:R95">+Q88/$Q$97</f>
        <v>0.009232739355048395</v>
      </c>
      <c r="S88" s="74">
        <v>42</v>
      </c>
      <c r="T88" s="14">
        <f aca="true" t="shared" si="47" ref="T88:T95">+S88/$S$97</f>
        <v>0.0100119189511323</v>
      </c>
      <c r="U88" s="56"/>
      <c r="V88" s="55"/>
      <c r="W88" s="56"/>
      <c r="X88" s="56"/>
      <c r="Y88" s="9">
        <v>1185441.83</v>
      </c>
      <c r="Z88" s="14">
        <v>0.018746530660134694</v>
      </c>
      <c r="AA88" s="74">
        <v>78</v>
      </c>
      <c r="AB88" s="14">
        <v>0.017703132092601</v>
      </c>
      <c r="AC88" s="56"/>
      <c r="AD88" s="55"/>
      <c r="AE88" s="56"/>
      <c r="AF88" s="9">
        <v>974293.2</v>
      </c>
      <c r="AG88" s="14">
        <v>0.015097056648606728</v>
      </c>
      <c r="AH88" s="74">
        <v>61</v>
      </c>
      <c r="AI88" s="14">
        <v>0.014308070646098816</v>
      </c>
      <c r="AJ88" s="56"/>
      <c r="AK88" s="55"/>
      <c r="AL88" s="56"/>
      <c r="AM88" s="9">
        <v>1009146.14</v>
      </c>
      <c r="AN88" s="14">
        <f aca="true" t="shared" si="48" ref="AN88:AN95">+AM88/$AM$97</f>
        <v>0.018049375561636372</v>
      </c>
      <c r="AO88" s="74">
        <v>60</v>
      </c>
      <c r="AP88" s="14">
        <f aca="true" t="shared" si="49" ref="AP88:AP95">+AO88/$AO$97</f>
        <v>0.014958863126402393</v>
      </c>
      <c r="AQ88" s="56"/>
      <c r="AR88" s="55"/>
      <c r="AS88" s="56"/>
      <c r="AT88" s="9">
        <v>863812.97</v>
      </c>
      <c r="AU88" s="14">
        <f aca="true" t="shared" si="50" ref="AU88:AU95">+AT88/$AT$97</f>
        <v>0.01877844794185532</v>
      </c>
      <c r="AV88" s="74">
        <v>51</v>
      </c>
      <c r="AW88" s="14">
        <f aca="true" t="shared" si="51" ref="AW88:AW95">+AV88/$AV$97</f>
        <v>0.014629948364888123</v>
      </c>
      <c r="AX88" s="56"/>
      <c r="AY88" s="55"/>
      <c r="AZ88" s="56"/>
      <c r="BA88" s="9">
        <v>1162894.59</v>
      </c>
      <c r="BB88" s="14">
        <f aca="true" t="shared" si="52" ref="BB88:BB95">+BA88/$BA$97</f>
        <v>0.015954540737439113</v>
      </c>
      <c r="BC88" s="74">
        <v>77</v>
      </c>
      <c r="BD88" s="14">
        <f aca="true" t="shared" si="53" ref="BD88:BD95">+BC88/$BC$97</f>
        <v>0.01708832667554372</v>
      </c>
      <c r="BE88" s="56"/>
      <c r="BF88" s="55"/>
      <c r="BG88" s="56"/>
      <c r="BH88" s="9">
        <v>1010093.61</v>
      </c>
      <c r="BI88" s="14">
        <v>0.015256420009176921</v>
      </c>
      <c r="BJ88" s="74">
        <v>57</v>
      </c>
      <c r="BK88" s="14">
        <v>0.014763014763014764</v>
      </c>
      <c r="BL88" s="56"/>
      <c r="BM88" s="55"/>
      <c r="BN88" s="56"/>
      <c r="BO88" s="9">
        <v>1551220.15</v>
      </c>
      <c r="BP88" s="14">
        <v>0.02382341744124194</v>
      </c>
      <c r="BQ88" s="74">
        <v>78</v>
      </c>
      <c r="BR88" s="14">
        <v>0.021115322144017325</v>
      </c>
      <c r="BS88" s="56"/>
      <c r="BT88" s="55"/>
      <c r="BU88" s="56"/>
      <c r="BV88" s="9">
        <v>1452955.48</v>
      </c>
      <c r="BW88" s="14">
        <v>0.016139300359164006</v>
      </c>
      <c r="BX88" s="74">
        <v>81</v>
      </c>
      <c r="BY88" s="14">
        <v>0.017536263260445984</v>
      </c>
      <c r="BZ88" s="56"/>
      <c r="CA88" s="55"/>
      <c r="CB88" s="56"/>
      <c r="CC88" s="9">
        <v>1899920.97</v>
      </c>
      <c r="CD88" s="14">
        <v>0.019937891277735566</v>
      </c>
      <c r="CE88" s="74">
        <v>83</v>
      </c>
      <c r="CF88" s="14">
        <v>0.017581020970133445</v>
      </c>
      <c r="CG88" s="56"/>
      <c r="CH88" s="55"/>
      <c r="CI88" s="56"/>
      <c r="CJ88" s="9">
        <v>2043974.14</v>
      </c>
      <c r="CK88" s="14">
        <v>0.02066891565603576</v>
      </c>
      <c r="CL88" s="74">
        <v>86</v>
      </c>
      <c r="CM88" s="14">
        <v>0.01808242220353238</v>
      </c>
      <c r="CN88" s="56"/>
      <c r="CO88" s="55"/>
      <c r="CP88" s="56"/>
      <c r="CQ88" s="9">
        <v>1898571.14</v>
      </c>
      <c r="CR88" s="14">
        <v>0.018445269611694712</v>
      </c>
      <c r="CS88" s="74">
        <v>79</v>
      </c>
      <c r="CT88" s="14">
        <v>0.016523739803388414</v>
      </c>
      <c r="CU88" s="56"/>
      <c r="CV88" s="55"/>
      <c r="CW88" s="56"/>
      <c r="CX88" s="9">
        <v>1972799.27</v>
      </c>
      <c r="CY88" s="14">
        <v>0.01827075835655333</v>
      </c>
      <c r="CZ88" s="74">
        <v>94</v>
      </c>
      <c r="DA88" s="14">
        <v>0.019449617214980345</v>
      </c>
      <c r="DB88" s="56"/>
      <c r="DC88" s="55"/>
      <c r="DD88" s="56"/>
    </row>
    <row r="89" spans="1:108" ht="12.75">
      <c r="A89" s="8" t="s">
        <v>45</v>
      </c>
      <c r="B89" s="8"/>
      <c r="C89" s="43">
        <v>136659.63</v>
      </c>
      <c r="D89" s="33">
        <f aca="true" t="shared" si="54" ref="D89:D95">+C89/$C$97</f>
        <v>0.005311358884285827</v>
      </c>
      <c r="E89" s="46">
        <v>8</v>
      </c>
      <c r="F89" s="33">
        <f aca="true" t="shared" si="55" ref="F89:F95">+E89/$E$97</f>
        <v>0.004305705059203444</v>
      </c>
      <c r="G89" s="33"/>
      <c r="H89" s="33"/>
      <c r="I89" s="9">
        <v>75951.07</v>
      </c>
      <c r="J89" s="14">
        <f aca="true" t="shared" si="56" ref="J89:J95">+I89/$I$97</f>
        <v>0.0031056118644167355</v>
      </c>
      <c r="K89" s="74">
        <v>6</v>
      </c>
      <c r="L89" s="14">
        <f aca="true" t="shared" si="57" ref="L89:L95">+K89/$K$97</f>
        <v>0.003353828954723309</v>
      </c>
      <c r="M89" s="56"/>
      <c r="N89" s="55"/>
      <c r="O89" s="56"/>
      <c r="P89" s="56"/>
      <c r="Q89" s="9">
        <v>133889.33</v>
      </c>
      <c r="R89" s="14">
        <f t="shared" si="46"/>
        <v>0.002269353512590606</v>
      </c>
      <c r="S89" s="74">
        <v>12</v>
      </c>
      <c r="T89" s="14">
        <f t="shared" si="47"/>
        <v>0.0028605482717520858</v>
      </c>
      <c r="U89" s="56"/>
      <c r="V89" s="55"/>
      <c r="W89" s="56"/>
      <c r="X89" s="56"/>
      <c r="Y89" s="9">
        <v>555677.29</v>
      </c>
      <c r="Z89" s="14">
        <v>0.008787458895495157</v>
      </c>
      <c r="AA89" s="74">
        <v>38</v>
      </c>
      <c r="AB89" s="14">
        <v>0.008624602814344077</v>
      </c>
      <c r="AC89" s="56"/>
      <c r="AD89" s="55"/>
      <c r="AE89" s="56"/>
      <c r="AF89" s="9">
        <v>635464.21</v>
      </c>
      <c r="AG89" s="14">
        <v>0.009839446893751583</v>
      </c>
      <c r="AH89" s="74">
        <v>40</v>
      </c>
      <c r="AI89" s="14">
        <v>0.009166107757657053</v>
      </c>
      <c r="AJ89" s="56"/>
      <c r="AK89" s="55"/>
      <c r="AL89" s="56"/>
      <c r="AM89" s="9">
        <v>433743.32</v>
      </c>
      <c r="AN89" s="14">
        <f t="shared" si="48"/>
        <v>0.007757841773076618</v>
      </c>
      <c r="AO89" s="74">
        <v>28</v>
      </c>
      <c r="AP89" s="14">
        <f t="shared" si="49"/>
        <v>0.006980802792321117</v>
      </c>
      <c r="AQ89" s="56"/>
      <c r="AR89" s="55"/>
      <c r="AS89" s="56"/>
      <c r="AT89" s="9">
        <v>529246.95</v>
      </c>
      <c r="AU89" s="14">
        <f t="shared" si="50"/>
        <v>0.011505310343928623</v>
      </c>
      <c r="AV89" s="74">
        <v>31</v>
      </c>
      <c r="AW89" s="14">
        <f t="shared" si="51"/>
        <v>0.00889271371199082</v>
      </c>
      <c r="AX89" s="56"/>
      <c r="AY89" s="55"/>
      <c r="AZ89" s="56"/>
      <c r="BA89" s="9">
        <v>406986.25</v>
      </c>
      <c r="BB89" s="14">
        <f t="shared" si="52"/>
        <v>0.00558372079553881</v>
      </c>
      <c r="BC89" s="74">
        <v>27</v>
      </c>
      <c r="BD89" s="14">
        <f t="shared" si="53"/>
        <v>0.005992010652463382</v>
      </c>
      <c r="BE89" s="56"/>
      <c r="BF89" s="55"/>
      <c r="BG89" s="56"/>
      <c r="BH89" s="9">
        <v>971601.41</v>
      </c>
      <c r="BI89" s="14">
        <v>0.014675035111318558</v>
      </c>
      <c r="BJ89" s="74">
        <v>50</v>
      </c>
      <c r="BK89" s="14">
        <v>0.01295001295001295</v>
      </c>
      <c r="BL89" s="56"/>
      <c r="BM89" s="55"/>
      <c r="BN89" s="56"/>
      <c r="BO89" s="9">
        <v>729065.95</v>
      </c>
      <c r="BP89" s="14">
        <v>0.011196890698619169</v>
      </c>
      <c r="BQ89" s="74">
        <v>33</v>
      </c>
      <c r="BR89" s="14">
        <v>0.008933405522468869</v>
      </c>
      <c r="BS89" s="56"/>
      <c r="BT89" s="55"/>
      <c r="BU89" s="56"/>
      <c r="BV89" s="9">
        <v>698000.33</v>
      </c>
      <c r="BW89" s="14">
        <v>0.00775332563986448</v>
      </c>
      <c r="BX89" s="74">
        <v>35</v>
      </c>
      <c r="BY89" s="14">
        <v>0.007577397705130981</v>
      </c>
      <c r="BZ89" s="56"/>
      <c r="CA89" s="55"/>
      <c r="CB89" s="56"/>
      <c r="CC89" s="9">
        <v>590802.36</v>
      </c>
      <c r="CD89" s="14">
        <v>0.006199917473572382</v>
      </c>
      <c r="CE89" s="74">
        <v>40</v>
      </c>
      <c r="CF89" s="14">
        <v>0.008472781190425757</v>
      </c>
      <c r="CG89" s="56"/>
      <c r="CH89" s="55"/>
      <c r="CI89" s="56"/>
      <c r="CJ89" s="9">
        <v>637027.2</v>
      </c>
      <c r="CK89" s="14">
        <v>0.006441696697493749</v>
      </c>
      <c r="CL89" s="74">
        <v>39</v>
      </c>
      <c r="CM89" s="14">
        <v>0.008200168208578638</v>
      </c>
      <c r="CN89" s="56"/>
      <c r="CO89" s="55"/>
      <c r="CP89" s="56"/>
      <c r="CQ89" s="9">
        <v>1048410.47</v>
      </c>
      <c r="CR89" s="14">
        <v>0.010185667197529174</v>
      </c>
      <c r="CS89" s="74">
        <v>45</v>
      </c>
      <c r="CT89" s="14">
        <v>0.009412256850031374</v>
      </c>
      <c r="CU89" s="56"/>
      <c r="CV89" s="55"/>
      <c r="CW89" s="56"/>
      <c r="CX89" s="9">
        <v>1020469.59</v>
      </c>
      <c r="CY89" s="14">
        <v>0.00945091250419058</v>
      </c>
      <c r="CZ89" s="74">
        <v>44</v>
      </c>
      <c r="DA89" s="14">
        <v>0.009104076143182288</v>
      </c>
      <c r="DB89" s="56"/>
      <c r="DC89" s="55"/>
      <c r="DD89" s="56"/>
    </row>
    <row r="90" spans="1:108" ht="14.25" customHeight="1">
      <c r="A90" s="8" t="s">
        <v>46</v>
      </c>
      <c r="B90" s="8"/>
      <c r="C90" s="43">
        <v>32512.53</v>
      </c>
      <c r="D90" s="33">
        <f t="shared" si="54"/>
        <v>0.0012636190736511543</v>
      </c>
      <c r="E90" s="46">
        <v>4</v>
      </c>
      <c r="F90" s="33">
        <f t="shared" si="55"/>
        <v>0.002152852529601722</v>
      </c>
      <c r="G90" s="33"/>
      <c r="H90" s="33"/>
      <c r="I90" s="9">
        <v>19238.68</v>
      </c>
      <c r="J90" s="14">
        <f t="shared" si="56"/>
        <v>0.000786662687750376</v>
      </c>
      <c r="K90" s="74">
        <v>2</v>
      </c>
      <c r="L90" s="14">
        <f t="shared" si="57"/>
        <v>0.0011179429849077697</v>
      </c>
      <c r="M90" s="56"/>
      <c r="N90" s="55"/>
      <c r="O90" s="56"/>
      <c r="P90" s="56"/>
      <c r="Q90" s="9">
        <v>96566.66</v>
      </c>
      <c r="R90" s="14">
        <f t="shared" si="46"/>
        <v>0.0016367539449942934</v>
      </c>
      <c r="S90" s="74">
        <v>8</v>
      </c>
      <c r="T90" s="14">
        <f t="shared" si="47"/>
        <v>0.0019070321811680572</v>
      </c>
      <c r="U90" s="56"/>
      <c r="V90" s="55"/>
      <c r="W90" s="56"/>
      <c r="X90" s="56"/>
      <c r="Y90" s="9">
        <v>147567.67</v>
      </c>
      <c r="Z90" s="14">
        <v>0.0023336293524412227</v>
      </c>
      <c r="AA90" s="74">
        <v>13</v>
      </c>
      <c r="AB90" s="14">
        <v>0.0029505220154334997</v>
      </c>
      <c r="AC90" s="56"/>
      <c r="AD90" s="55"/>
      <c r="AE90" s="56"/>
      <c r="AF90" s="9">
        <v>260168.59</v>
      </c>
      <c r="AG90" s="14">
        <v>0.004036305594663393</v>
      </c>
      <c r="AH90" s="74">
        <v>20</v>
      </c>
      <c r="AI90" s="14">
        <v>0.004694835680751174</v>
      </c>
      <c r="AJ90" s="56"/>
      <c r="AK90" s="55"/>
      <c r="AL90" s="56"/>
      <c r="AM90" s="9">
        <v>289993.4</v>
      </c>
      <c r="AN90" s="14">
        <f t="shared" si="48"/>
        <v>0.005186760945244107</v>
      </c>
      <c r="AO90" s="74">
        <v>24</v>
      </c>
      <c r="AP90" s="14">
        <f t="shared" si="49"/>
        <v>0.005983545250560957</v>
      </c>
      <c r="AQ90" s="56"/>
      <c r="AR90" s="55"/>
      <c r="AS90" s="56"/>
      <c r="AT90" s="9">
        <v>109436.9</v>
      </c>
      <c r="AU90" s="14">
        <f t="shared" si="50"/>
        <v>0.0023790510225471916</v>
      </c>
      <c r="AV90" s="74">
        <v>10</v>
      </c>
      <c r="AW90" s="14">
        <f t="shared" si="51"/>
        <v>0.002868617326448652</v>
      </c>
      <c r="AX90" s="56"/>
      <c r="AY90" s="55"/>
      <c r="AZ90" s="56"/>
      <c r="BA90" s="9">
        <v>134004.31</v>
      </c>
      <c r="BB90" s="14">
        <f t="shared" si="52"/>
        <v>0.001838496146832551</v>
      </c>
      <c r="BC90" s="74">
        <v>10</v>
      </c>
      <c r="BD90" s="14">
        <f t="shared" si="53"/>
        <v>0.0022192632046160675</v>
      </c>
      <c r="BE90" s="56"/>
      <c r="BF90" s="55"/>
      <c r="BG90" s="56"/>
      <c r="BH90" s="9">
        <v>402421.35</v>
      </c>
      <c r="BI90" s="14">
        <v>0.0060781585740949185</v>
      </c>
      <c r="BJ90" s="74">
        <v>23</v>
      </c>
      <c r="BK90" s="14">
        <v>0.005957005957005957</v>
      </c>
      <c r="BL90" s="56"/>
      <c r="BM90" s="55"/>
      <c r="BN90" s="56"/>
      <c r="BO90" s="9">
        <v>372056.9</v>
      </c>
      <c r="BP90" s="14">
        <v>0.005713996714518188</v>
      </c>
      <c r="BQ90" s="74">
        <v>22</v>
      </c>
      <c r="BR90" s="14">
        <v>0.005955603681645912</v>
      </c>
      <c r="BS90" s="56"/>
      <c r="BT90" s="55"/>
      <c r="BU90" s="56"/>
      <c r="BV90" s="9">
        <v>308791.58</v>
      </c>
      <c r="BW90" s="14">
        <v>0.0034300294307715636</v>
      </c>
      <c r="BX90" s="74">
        <v>17</v>
      </c>
      <c r="BY90" s="14">
        <v>0.0036804503139207623</v>
      </c>
      <c r="BZ90" s="56"/>
      <c r="CA90" s="55"/>
      <c r="CB90" s="56"/>
      <c r="CC90" s="9">
        <v>437382.11</v>
      </c>
      <c r="CD90" s="14">
        <v>0.004589915630020431</v>
      </c>
      <c r="CE90" s="74">
        <v>18</v>
      </c>
      <c r="CF90" s="14">
        <v>0.0038127515356915906</v>
      </c>
      <c r="CG90" s="56"/>
      <c r="CH90" s="55"/>
      <c r="CI90" s="56"/>
      <c r="CJ90" s="9">
        <v>443420.48</v>
      </c>
      <c r="CK90" s="14">
        <v>0.004483921944961051</v>
      </c>
      <c r="CL90" s="74">
        <v>21</v>
      </c>
      <c r="CM90" s="14">
        <v>0.004415475189234651</v>
      </c>
      <c r="CN90" s="56"/>
      <c r="CO90" s="55"/>
      <c r="CP90" s="56"/>
      <c r="CQ90" s="9">
        <v>540455.13</v>
      </c>
      <c r="CR90" s="14">
        <v>0.005250706900492289</v>
      </c>
      <c r="CS90" s="74">
        <v>29</v>
      </c>
      <c r="CT90" s="14">
        <v>0.006065676636686885</v>
      </c>
      <c r="CU90" s="56"/>
      <c r="CV90" s="55"/>
      <c r="CW90" s="56"/>
      <c r="CX90" s="9">
        <v>563626.5</v>
      </c>
      <c r="CY90" s="14">
        <v>0.005219934811132561</v>
      </c>
      <c r="CZ90" s="74">
        <v>22</v>
      </c>
      <c r="DA90" s="14">
        <v>0.004552038071591144</v>
      </c>
      <c r="DB90" s="56"/>
      <c r="DC90" s="55"/>
      <c r="DD90" s="56"/>
    </row>
    <row r="91" spans="1:108" ht="12.75">
      <c r="A91" s="8" t="s">
        <v>47</v>
      </c>
      <c r="B91" s="8"/>
      <c r="C91" s="43">
        <v>11019.66</v>
      </c>
      <c r="D91" s="33">
        <f t="shared" si="54"/>
        <v>0.00042828572741495903</v>
      </c>
      <c r="E91" s="46">
        <v>1</v>
      </c>
      <c r="F91" s="33">
        <f t="shared" si="55"/>
        <v>0.0005382131324004305</v>
      </c>
      <c r="G91" s="33"/>
      <c r="H91" s="33"/>
      <c r="I91" s="9">
        <v>71332.65</v>
      </c>
      <c r="J91" s="14">
        <f t="shared" si="56"/>
        <v>0.0029167663360145737</v>
      </c>
      <c r="K91" s="74">
        <v>5</v>
      </c>
      <c r="L91" s="14">
        <f t="shared" si="57"/>
        <v>0.002794857462269424</v>
      </c>
      <c r="M91" s="56"/>
      <c r="N91" s="55"/>
      <c r="O91" s="56"/>
      <c r="P91" s="56"/>
      <c r="Q91" s="9">
        <v>19411.83</v>
      </c>
      <c r="R91" s="14">
        <f t="shared" si="46"/>
        <v>0.0003290202781380093</v>
      </c>
      <c r="S91" s="74">
        <v>4</v>
      </c>
      <c r="T91" s="14">
        <f t="shared" si="47"/>
        <v>0.0009535160905840286</v>
      </c>
      <c r="U91" s="56"/>
      <c r="V91" s="55"/>
      <c r="W91" s="56"/>
      <c r="X91" s="56"/>
      <c r="Y91" s="9">
        <v>22139.33</v>
      </c>
      <c r="Z91" s="14">
        <v>0.00035011049731545227</v>
      </c>
      <c r="AA91" s="74">
        <v>3</v>
      </c>
      <c r="AB91" s="14">
        <v>0.0006808896958692692</v>
      </c>
      <c r="AC91" s="56"/>
      <c r="AD91" s="55"/>
      <c r="AE91" s="56"/>
      <c r="AF91" s="9">
        <v>186993.68</v>
      </c>
      <c r="AG91" s="14">
        <v>0.002916678627484545</v>
      </c>
      <c r="AH91" s="74">
        <v>11</v>
      </c>
      <c r="AI91" s="14">
        <v>0.0026827632461435278</v>
      </c>
      <c r="AJ91" s="56"/>
      <c r="AK91" s="55"/>
      <c r="AL91" s="56"/>
      <c r="AM91" s="9">
        <v>147571.76</v>
      </c>
      <c r="AN91" s="14">
        <f t="shared" si="48"/>
        <v>0.0026394374540556318</v>
      </c>
      <c r="AO91" s="74">
        <v>8</v>
      </c>
      <c r="AP91" s="14">
        <f t="shared" si="49"/>
        <v>0.0019945150835203192</v>
      </c>
      <c r="AQ91" s="56"/>
      <c r="AR91" s="55"/>
      <c r="AS91" s="56"/>
      <c r="AT91" s="9">
        <v>123334.13</v>
      </c>
      <c r="AU91" s="14">
        <f t="shared" si="50"/>
        <v>0.002681163191679116</v>
      </c>
      <c r="AV91" s="74">
        <v>8</v>
      </c>
      <c r="AW91" s="14">
        <f t="shared" si="51"/>
        <v>0.002294893861158921</v>
      </c>
      <c r="AX91" s="56"/>
      <c r="AY91" s="55"/>
      <c r="AZ91" s="56"/>
      <c r="BA91" s="9">
        <v>74362.16</v>
      </c>
      <c r="BB91" s="14">
        <f t="shared" si="52"/>
        <v>0.0010202249810483384</v>
      </c>
      <c r="BC91" s="74">
        <v>7</v>
      </c>
      <c r="BD91" s="14">
        <f t="shared" si="53"/>
        <v>0.0015534842432312472</v>
      </c>
      <c r="BE91" s="56"/>
      <c r="BF91" s="55"/>
      <c r="BG91" s="56"/>
      <c r="BH91" s="9">
        <v>198127.31</v>
      </c>
      <c r="BI91" s="14">
        <v>0.0029925082454965715</v>
      </c>
      <c r="BJ91" s="74">
        <v>14</v>
      </c>
      <c r="BK91" s="14">
        <v>0.003626003626003626</v>
      </c>
      <c r="BL91" s="56"/>
      <c r="BM91" s="55"/>
      <c r="BN91" s="56"/>
      <c r="BO91" s="9">
        <v>334326.11</v>
      </c>
      <c r="BP91" s="14">
        <v>0.005134532632287281</v>
      </c>
      <c r="BQ91" s="74">
        <v>17</v>
      </c>
      <c r="BR91" s="14">
        <v>0.0046020573903627505</v>
      </c>
      <c r="BS91" s="56"/>
      <c r="BT91" s="55"/>
      <c r="BU91" s="56"/>
      <c r="BV91" s="9">
        <v>143217.75</v>
      </c>
      <c r="BW91" s="14">
        <v>0.0015908500403698964</v>
      </c>
      <c r="BX91" s="74">
        <v>8</v>
      </c>
      <c r="BY91" s="14">
        <v>0.0017319766183156527</v>
      </c>
      <c r="BZ91" s="56"/>
      <c r="CA91" s="55"/>
      <c r="CB91" s="56"/>
      <c r="CC91" s="9">
        <v>193607.02</v>
      </c>
      <c r="CD91" s="14">
        <v>0.0020317243592328873</v>
      </c>
      <c r="CE91" s="74">
        <v>12</v>
      </c>
      <c r="CF91" s="14">
        <v>0.0025418343571277273</v>
      </c>
      <c r="CG91" s="56"/>
      <c r="CH91" s="55"/>
      <c r="CI91" s="56"/>
      <c r="CJ91" s="9">
        <v>130504.4</v>
      </c>
      <c r="CK91" s="14">
        <v>0.0013196764007697053</v>
      </c>
      <c r="CL91" s="74">
        <v>9</v>
      </c>
      <c r="CM91" s="14">
        <v>0.0018923465096719932</v>
      </c>
      <c r="CN91" s="56"/>
      <c r="CO91" s="55"/>
      <c r="CP91" s="56"/>
      <c r="CQ91" s="9">
        <v>137149.61</v>
      </c>
      <c r="CR91" s="14">
        <v>0.0013324554873349547</v>
      </c>
      <c r="CS91" s="74">
        <v>7</v>
      </c>
      <c r="CT91" s="14">
        <v>0.0014641288433382138</v>
      </c>
      <c r="CU91" s="56"/>
      <c r="CV91" s="55"/>
      <c r="CW91" s="56"/>
      <c r="CX91" s="9">
        <v>554461.4</v>
      </c>
      <c r="CY91" s="14">
        <v>0.005135053733792317</v>
      </c>
      <c r="CZ91" s="74">
        <v>20</v>
      </c>
      <c r="DA91" s="14">
        <v>0.004138216428719222</v>
      </c>
      <c r="DB91" s="56"/>
      <c r="DC91" s="55"/>
      <c r="DD91" s="56"/>
    </row>
    <row r="92" spans="1:108" ht="12.75">
      <c r="A92" s="8" t="s">
        <v>48</v>
      </c>
      <c r="B92" s="8"/>
      <c r="C92" s="43">
        <v>13182.55</v>
      </c>
      <c r="D92" s="33">
        <f t="shared" si="54"/>
        <v>0.0005123477508320645</v>
      </c>
      <c r="E92" s="46">
        <v>1</v>
      </c>
      <c r="F92" s="33">
        <f t="shared" si="55"/>
        <v>0.0005382131324004305</v>
      </c>
      <c r="G92" s="33"/>
      <c r="H92" s="33"/>
      <c r="I92" s="9">
        <v>5346.17</v>
      </c>
      <c r="J92" s="14">
        <f t="shared" si="56"/>
        <v>0.00021860296347620667</v>
      </c>
      <c r="K92" s="74">
        <v>1</v>
      </c>
      <c r="L92" s="14">
        <f t="shared" si="57"/>
        <v>0.0005589714924538849</v>
      </c>
      <c r="M92" s="56"/>
      <c r="N92" s="55"/>
      <c r="O92" s="56"/>
      <c r="P92" s="56"/>
      <c r="Q92" s="9">
        <v>45475.53</v>
      </c>
      <c r="R92" s="14">
        <f t="shared" si="46"/>
        <v>0.0007707862437015667</v>
      </c>
      <c r="S92" s="74">
        <v>3</v>
      </c>
      <c r="T92" s="14">
        <f t="shared" si="47"/>
        <v>0.0007151370679380214</v>
      </c>
      <c r="U92" s="56"/>
      <c r="V92" s="55"/>
      <c r="W92" s="56"/>
      <c r="X92" s="56"/>
      <c r="Y92" s="9">
        <v>30555.58</v>
      </c>
      <c r="Z92" s="14">
        <v>0.0004832047451102669</v>
      </c>
      <c r="AA92" s="74">
        <v>5</v>
      </c>
      <c r="AB92" s="14">
        <v>0.0011348161597821154</v>
      </c>
      <c r="AC92" s="56"/>
      <c r="AD92" s="55"/>
      <c r="AE92" s="56"/>
      <c r="AF92" s="9">
        <v>118455.37</v>
      </c>
      <c r="AG92" s="14">
        <v>0.0018334027751586662</v>
      </c>
      <c r="AH92" s="74">
        <v>8</v>
      </c>
      <c r="AI92" s="14">
        <v>0.001788508830762352</v>
      </c>
      <c r="AJ92" s="56"/>
      <c r="AK92" s="55"/>
      <c r="AL92" s="56"/>
      <c r="AM92" s="9">
        <v>54818.68</v>
      </c>
      <c r="AN92" s="14">
        <f t="shared" si="48"/>
        <v>0.0009804753780390664</v>
      </c>
      <c r="AO92" s="74">
        <v>7</v>
      </c>
      <c r="AP92" s="14">
        <f t="shared" si="49"/>
        <v>0.0017452006980802793</v>
      </c>
      <c r="AQ92" s="56"/>
      <c r="AR92" s="55"/>
      <c r="AS92" s="56"/>
      <c r="AT92" s="9">
        <v>75901.13</v>
      </c>
      <c r="AU92" s="14">
        <f t="shared" si="50"/>
        <v>0.0016500162279723504</v>
      </c>
      <c r="AV92" s="74">
        <v>8</v>
      </c>
      <c r="AW92" s="14">
        <f t="shared" si="51"/>
        <v>0.002294893861158921</v>
      </c>
      <c r="AX92" s="56"/>
      <c r="AY92" s="55"/>
      <c r="AZ92" s="56"/>
      <c r="BA92" s="9">
        <v>99284.1</v>
      </c>
      <c r="BB92" s="14">
        <f t="shared" si="52"/>
        <v>0.0013621460033019662</v>
      </c>
      <c r="BC92" s="74">
        <v>7</v>
      </c>
      <c r="BD92" s="14">
        <f t="shared" si="53"/>
        <v>0.0015534842432312472</v>
      </c>
      <c r="BE92" s="56"/>
      <c r="BF92" s="55"/>
      <c r="BG92" s="56"/>
      <c r="BH92" s="9">
        <v>66592.17</v>
      </c>
      <c r="BI92" s="14">
        <v>0.001005805902328707</v>
      </c>
      <c r="BJ92" s="74">
        <v>6</v>
      </c>
      <c r="BK92" s="14">
        <v>0.001554001554001554</v>
      </c>
      <c r="BL92" s="56"/>
      <c r="BM92" s="55"/>
      <c r="BN92" s="56"/>
      <c r="BO92" s="9">
        <v>199279.61</v>
      </c>
      <c r="BP92" s="14">
        <v>0.003060507779348981</v>
      </c>
      <c r="BQ92" s="74">
        <v>11</v>
      </c>
      <c r="BR92" s="14">
        <v>0.002977801840822956</v>
      </c>
      <c r="BS92" s="56"/>
      <c r="BT92" s="55"/>
      <c r="BU92" s="56"/>
      <c r="BV92" s="9">
        <v>210138.6</v>
      </c>
      <c r="BW92" s="14">
        <v>0.0023342008954425936</v>
      </c>
      <c r="BX92" s="74">
        <v>9</v>
      </c>
      <c r="BY92" s="14">
        <v>0.0019484736956051094</v>
      </c>
      <c r="BZ92" s="56"/>
      <c r="CA92" s="55"/>
      <c r="CB92" s="56"/>
      <c r="CC92" s="9">
        <v>179846.9</v>
      </c>
      <c r="CD92" s="14">
        <v>0.0018873247863766573</v>
      </c>
      <c r="CE92" s="74">
        <v>8</v>
      </c>
      <c r="CF92" s="14">
        <v>0.0016945562380851515</v>
      </c>
      <c r="CG92" s="56"/>
      <c r="CH92" s="55"/>
      <c r="CI92" s="56"/>
      <c r="CJ92" s="9">
        <v>195412.14</v>
      </c>
      <c r="CK92" s="14">
        <v>0.0019760313796462477</v>
      </c>
      <c r="CL92" s="74">
        <v>10</v>
      </c>
      <c r="CM92" s="14">
        <v>0.0021026072329688814</v>
      </c>
      <c r="CN92" s="56"/>
      <c r="CO92" s="55"/>
      <c r="CP92" s="56"/>
      <c r="CQ92" s="9">
        <v>275706.29</v>
      </c>
      <c r="CR92" s="14">
        <v>0.0026785811421794234</v>
      </c>
      <c r="CS92" s="74">
        <v>12</v>
      </c>
      <c r="CT92" s="14">
        <v>0.0025099351600083664</v>
      </c>
      <c r="CU92" s="56"/>
      <c r="CV92" s="55"/>
      <c r="CW92" s="56"/>
      <c r="CX92" s="9">
        <v>342138.16</v>
      </c>
      <c r="CY92" s="14">
        <v>0.0031686567107842554</v>
      </c>
      <c r="CZ92" s="74">
        <v>17</v>
      </c>
      <c r="DA92" s="14">
        <v>0.0035174839644113386</v>
      </c>
      <c r="DB92" s="56"/>
      <c r="DC92" s="55"/>
      <c r="DD92" s="56"/>
    </row>
    <row r="93" spans="1:108" ht="12.75">
      <c r="A93" s="8" t="s">
        <v>77</v>
      </c>
      <c r="B93" s="8"/>
      <c r="C93" s="43">
        <v>0</v>
      </c>
      <c r="D93" s="33">
        <f t="shared" si="54"/>
        <v>0</v>
      </c>
      <c r="E93" s="46">
        <v>0</v>
      </c>
      <c r="F93" s="33">
        <f t="shared" si="55"/>
        <v>0</v>
      </c>
      <c r="G93" s="33"/>
      <c r="H93" s="33"/>
      <c r="I93" s="9">
        <v>23590.14</v>
      </c>
      <c r="J93" s="14">
        <f t="shared" si="56"/>
        <v>0.0009645923180180582</v>
      </c>
      <c r="K93" s="74">
        <v>6</v>
      </c>
      <c r="L93" s="14">
        <f t="shared" si="57"/>
        <v>0.003353828954723309</v>
      </c>
      <c r="M93" s="56"/>
      <c r="N93" s="55"/>
      <c r="O93" s="56"/>
      <c r="P93" s="56"/>
      <c r="Q93" s="9">
        <v>44314.64</v>
      </c>
      <c r="R93" s="14">
        <f t="shared" si="46"/>
        <v>0.0007511097706082193</v>
      </c>
      <c r="S93" s="74">
        <v>3</v>
      </c>
      <c r="T93" s="14">
        <f t="shared" si="47"/>
        <v>0.0007151370679380214</v>
      </c>
      <c r="U93" s="56"/>
      <c r="V93" s="55"/>
      <c r="W93" s="56"/>
      <c r="X93" s="56"/>
      <c r="Y93" s="9">
        <v>64538.68</v>
      </c>
      <c r="Z93" s="14">
        <v>0.0010206121572280114</v>
      </c>
      <c r="AA93" s="74">
        <v>4</v>
      </c>
      <c r="AB93" s="14">
        <v>0.0009078529278256923</v>
      </c>
      <c r="AC93" s="56"/>
      <c r="AD93" s="55"/>
      <c r="AE93" s="56"/>
      <c r="AF93" s="9">
        <f>42147.4+3715.27+27708.21</f>
        <v>73570.88</v>
      </c>
      <c r="AG93" s="14">
        <v>0.0011386993731298568</v>
      </c>
      <c r="AH93" s="74">
        <v>6</v>
      </c>
      <c r="AI93" s="14">
        <v>0.0013413816230717639</v>
      </c>
      <c r="AJ93" s="56"/>
      <c r="AK93" s="55"/>
      <c r="AL93" s="56"/>
      <c r="AM93" s="9">
        <v>218421.1</v>
      </c>
      <c r="AN93" s="14">
        <f t="shared" si="48"/>
        <v>0.003906633844415968</v>
      </c>
      <c r="AO93" s="74">
        <v>12</v>
      </c>
      <c r="AP93" s="14">
        <f t="shared" si="49"/>
        <v>0.0029917726252804786</v>
      </c>
      <c r="AQ93" s="56"/>
      <c r="AR93" s="55"/>
      <c r="AS93" s="56"/>
      <c r="AT93" s="9">
        <v>241390.06</v>
      </c>
      <c r="AU93" s="14">
        <f t="shared" si="50"/>
        <v>0.005247583484873274</v>
      </c>
      <c r="AV93" s="74">
        <v>12</v>
      </c>
      <c r="AW93" s="14">
        <f t="shared" si="51"/>
        <v>0.0034423407917383822</v>
      </c>
      <c r="AX93" s="56"/>
      <c r="AY93" s="55"/>
      <c r="AZ93" s="56"/>
      <c r="BA93" s="9">
        <f>100331.73+80380.93+25204.73</f>
        <v>205917.38999999998</v>
      </c>
      <c r="BB93" s="14">
        <f t="shared" si="52"/>
        <v>0.002825120535905268</v>
      </c>
      <c r="BC93" s="74">
        <f>5+6+3</f>
        <v>14</v>
      </c>
      <c r="BD93" s="14">
        <f t="shared" si="53"/>
        <v>0.0031069684864624943</v>
      </c>
      <c r="BE93" s="56"/>
      <c r="BF93" s="55"/>
      <c r="BG93" s="56"/>
      <c r="BH93" s="9">
        <v>199305.08</v>
      </c>
      <c r="BI93" s="14">
        <v>0.0030102972440768207</v>
      </c>
      <c r="BJ93" s="74">
        <v>14</v>
      </c>
      <c r="BK93" s="14">
        <v>0.003626003626003626</v>
      </c>
      <c r="BL93" s="56"/>
      <c r="BM93" s="55"/>
      <c r="BN93" s="56"/>
      <c r="BO93" s="9">
        <v>266689.95</v>
      </c>
      <c r="BP93" s="14">
        <v>0.004095786150169558</v>
      </c>
      <c r="BQ93" s="74">
        <v>17</v>
      </c>
      <c r="BR93" s="14">
        <v>0.0046020573903627505</v>
      </c>
      <c r="BS93" s="56"/>
      <c r="BT93" s="55"/>
      <c r="BU93" s="56"/>
      <c r="BV93" s="9">
        <v>470744.87</v>
      </c>
      <c r="BW93" s="14">
        <v>0.005228992184582022</v>
      </c>
      <c r="BX93" s="74">
        <v>22</v>
      </c>
      <c r="BY93" s="14">
        <v>0.004762935700368045</v>
      </c>
      <c r="BZ93" s="56"/>
      <c r="CA93" s="55"/>
      <c r="CB93" s="56"/>
      <c r="CC93" s="9">
        <v>312472.93</v>
      </c>
      <c r="CD93" s="14">
        <v>0.0032791107651048645</v>
      </c>
      <c r="CE93" s="74">
        <v>16</v>
      </c>
      <c r="CF93" s="14">
        <v>0.003389112476170303</v>
      </c>
      <c r="CG93" s="56"/>
      <c r="CH93" s="55"/>
      <c r="CI93" s="56"/>
      <c r="CJ93" s="9">
        <v>239410.4</v>
      </c>
      <c r="CK93" s="14">
        <v>0.0024209471479799565</v>
      </c>
      <c r="CL93" s="74">
        <v>12</v>
      </c>
      <c r="CM93" s="14">
        <v>0.002523128679562658</v>
      </c>
      <c r="CN93" s="56"/>
      <c r="CO93" s="55"/>
      <c r="CP93" s="56"/>
      <c r="CQ93" s="9">
        <v>178590.3</v>
      </c>
      <c r="CR93" s="14">
        <v>0.00173506599996745</v>
      </c>
      <c r="CS93" s="74">
        <v>7</v>
      </c>
      <c r="CT93" s="14">
        <v>0.0014641288433382138</v>
      </c>
      <c r="CU93" s="56"/>
      <c r="CV93" s="55"/>
      <c r="CW93" s="56"/>
      <c r="CX93" s="9">
        <v>455928.33</v>
      </c>
      <c r="CY93" s="14">
        <v>0.004222505792663286</v>
      </c>
      <c r="CZ93" s="74">
        <v>18</v>
      </c>
      <c r="DA93" s="14">
        <v>0.0037243947858473</v>
      </c>
      <c r="DB93" s="56"/>
      <c r="DC93" s="55"/>
      <c r="DD93" s="56"/>
    </row>
    <row r="94" spans="1:108" ht="12.75">
      <c r="A94" s="8" t="s">
        <v>78</v>
      </c>
      <c r="B94" s="8"/>
      <c r="C94" s="43">
        <v>0</v>
      </c>
      <c r="D94" s="33">
        <f t="shared" si="54"/>
        <v>0</v>
      </c>
      <c r="E94" s="46">
        <v>0</v>
      </c>
      <c r="F94" s="33">
        <f t="shared" si="55"/>
        <v>0</v>
      </c>
      <c r="G94" s="33"/>
      <c r="H94" s="33"/>
      <c r="I94" s="73">
        <v>0</v>
      </c>
      <c r="J94" s="14">
        <f t="shared" si="56"/>
        <v>0</v>
      </c>
      <c r="K94" s="74">
        <v>0</v>
      </c>
      <c r="L94" s="14">
        <f t="shared" si="57"/>
        <v>0</v>
      </c>
      <c r="M94" s="56"/>
      <c r="N94" s="55"/>
      <c r="O94" s="56"/>
      <c r="P94" s="56"/>
      <c r="Q94" s="9">
        <v>19762.03</v>
      </c>
      <c r="R94" s="14">
        <f t="shared" si="46"/>
        <v>0.00033495598339629404</v>
      </c>
      <c r="S94" s="74">
        <v>10</v>
      </c>
      <c r="T94" s="14">
        <f t="shared" si="47"/>
        <v>0.0023837902264600714</v>
      </c>
      <c r="U94" s="56"/>
      <c r="V94" s="55"/>
      <c r="W94" s="56"/>
      <c r="X94" s="56"/>
      <c r="Y94" s="9">
        <f>56010.83+122308.83</f>
        <v>178319.66</v>
      </c>
      <c r="Z94" s="14">
        <v>0.0008857530714051081</v>
      </c>
      <c r="AA94" s="74">
        <v>41</v>
      </c>
      <c r="AB94" s="14">
        <v>0.0009078529278256923</v>
      </c>
      <c r="AC94" s="56"/>
      <c r="AD94" s="55"/>
      <c r="AE94" s="56"/>
      <c r="AF94" s="9">
        <f>10215.46+5749.78+163873.54</f>
        <v>179838.78</v>
      </c>
      <c r="AG94" s="14">
        <v>0.00024710332104044036</v>
      </c>
      <c r="AH94" s="74">
        <v>93</v>
      </c>
      <c r="AI94" s="14">
        <v>0.000447127207690588</v>
      </c>
      <c r="AJ94" s="56"/>
      <c r="AK94" s="55"/>
      <c r="AL94" s="56"/>
      <c r="AM94" s="9">
        <f>56562.73+161985.29</f>
        <v>218548.02000000002</v>
      </c>
      <c r="AN94" s="14">
        <f t="shared" si="48"/>
        <v>0.003908903908835263</v>
      </c>
      <c r="AO94" s="74">
        <f>3+149</f>
        <v>152</v>
      </c>
      <c r="AP94" s="14">
        <f t="shared" si="49"/>
        <v>0.03789578658688606</v>
      </c>
      <c r="AQ94" s="56"/>
      <c r="AR94" s="55"/>
      <c r="AS94" s="56"/>
      <c r="AT94" s="9">
        <f>40228.3+59310.28</f>
        <v>99538.58</v>
      </c>
      <c r="AU94" s="14">
        <f t="shared" si="50"/>
        <v>0.0021638712402479916</v>
      </c>
      <c r="AV94" s="74">
        <f>4+188</f>
        <v>192</v>
      </c>
      <c r="AW94" s="14">
        <f t="shared" si="51"/>
        <v>0.055077452667814115</v>
      </c>
      <c r="AX94" s="56"/>
      <c r="AY94" s="55"/>
      <c r="AZ94" s="56"/>
      <c r="BA94" s="9">
        <f>53037.87+48502.31+118640.78</f>
        <v>220180.96</v>
      </c>
      <c r="BB94" s="14">
        <f t="shared" si="52"/>
        <v>0.0030208121407878</v>
      </c>
      <c r="BC94" s="74">
        <f>3+2+246</f>
        <v>251</v>
      </c>
      <c r="BD94" s="14">
        <f t="shared" si="53"/>
        <v>0.0557035064358633</v>
      </c>
      <c r="BE94" s="56"/>
      <c r="BF94" s="55"/>
      <c r="BG94" s="56"/>
      <c r="BH94" s="9">
        <v>97219.79</v>
      </c>
      <c r="BI94" s="14">
        <v>0.0014684044476273625</v>
      </c>
      <c r="BJ94" s="74">
        <v>7</v>
      </c>
      <c r="BK94" s="14">
        <v>0.001813001813001813</v>
      </c>
      <c r="BL94" s="56"/>
      <c r="BM94" s="55"/>
      <c r="BN94" s="56"/>
      <c r="BO94" s="9">
        <v>38258.42</v>
      </c>
      <c r="BP94" s="14">
        <v>0.0005875673483885312</v>
      </c>
      <c r="BQ94" s="74">
        <v>3</v>
      </c>
      <c r="BR94" s="14">
        <v>0.0008121277747698972</v>
      </c>
      <c r="BS94" s="56"/>
      <c r="BT94" s="55"/>
      <c r="BU94" s="56"/>
      <c r="BV94" s="9">
        <v>73467.85</v>
      </c>
      <c r="BW94" s="14">
        <v>0.000816074349292525</v>
      </c>
      <c r="BX94" s="74">
        <v>6</v>
      </c>
      <c r="BY94" s="14">
        <v>0.0012989824637367395</v>
      </c>
      <c r="BZ94" s="56"/>
      <c r="CA94" s="55"/>
      <c r="CB94" s="56"/>
      <c r="CC94" s="9">
        <v>332905.86</v>
      </c>
      <c r="CD94" s="14">
        <v>0.0034935352297317175</v>
      </c>
      <c r="CE94" s="74">
        <v>13</v>
      </c>
      <c r="CF94" s="14">
        <v>0.002753653886888371</v>
      </c>
      <c r="CG94" s="56"/>
      <c r="CH94" s="55"/>
      <c r="CI94" s="56"/>
      <c r="CJ94" s="9">
        <v>230019.29</v>
      </c>
      <c r="CK94" s="14">
        <v>0.002325983098920826</v>
      </c>
      <c r="CL94" s="74">
        <v>7</v>
      </c>
      <c r="CM94" s="14">
        <v>0.001471825063078217</v>
      </c>
      <c r="CN94" s="56"/>
      <c r="CO94" s="55"/>
      <c r="CP94" s="56"/>
      <c r="CQ94" s="9">
        <v>128442.98</v>
      </c>
      <c r="CR94" s="14">
        <v>0.0012478675915349221</v>
      </c>
      <c r="CS94" s="74">
        <v>6</v>
      </c>
      <c r="CT94" s="14">
        <v>0.0012549675800041832</v>
      </c>
      <c r="CU94" s="56"/>
      <c r="CV94" s="55"/>
      <c r="CW94" s="56"/>
      <c r="CX94" s="9">
        <v>123575.51</v>
      </c>
      <c r="CY94" s="14">
        <v>0.0011444744107178423</v>
      </c>
      <c r="CZ94" s="74">
        <v>3</v>
      </c>
      <c r="DA94" s="14">
        <v>0.0006207324643078833</v>
      </c>
      <c r="DB94" s="56"/>
      <c r="DC94" s="55"/>
      <c r="DD94" s="56"/>
    </row>
    <row r="95" spans="1:108" ht="12.75">
      <c r="A95" s="8" t="s">
        <v>49</v>
      </c>
      <c r="B95" s="8"/>
      <c r="C95" s="43">
        <v>0</v>
      </c>
      <c r="D95" s="33">
        <f t="shared" si="54"/>
        <v>0</v>
      </c>
      <c r="E95" s="46">
        <v>0</v>
      </c>
      <c r="F95" s="33">
        <f t="shared" si="55"/>
        <v>0</v>
      </c>
      <c r="G95" s="33"/>
      <c r="H95" s="33"/>
      <c r="I95" s="9">
        <v>0</v>
      </c>
      <c r="J95" s="14">
        <f t="shared" si="56"/>
        <v>0</v>
      </c>
      <c r="K95" s="74">
        <v>0</v>
      </c>
      <c r="L95" s="14">
        <f t="shared" si="57"/>
        <v>0</v>
      </c>
      <c r="M95" s="56"/>
      <c r="N95" s="55"/>
      <c r="O95" s="56"/>
      <c r="P95" s="56"/>
      <c r="Q95" s="9">
        <v>0</v>
      </c>
      <c r="R95" s="14">
        <f t="shared" si="46"/>
        <v>0</v>
      </c>
      <c r="S95" s="74">
        <v>0</v>
      </c>
      <c r="T95" s="14">
        <f t="shared" si="47"/>
        <v>0</v>
      </c>
      <c r="U95" s="56"/>
      <c r="V95" s="55"/>
      <c r="W95" s="56"/>
      <c r="X95" s="56"/>
      <c r="Y95" s="9">
        <v>0</v>
      </c>
      <c r="Z95" s="14">
        <v>0</v>
      </c>
      <c r="AA95" s="74">
        <v>0</v>
      </c>
      <c r="AB95" s="14">
        <v>0</v>
      </c>
      <c r="AC95" s="56"/>
      <c r="AD95" s="55"/>
      <c r="AE95" s="56"/>
      <c r="AF95" s="9">
        <v>56010.83</v>
      </c>
      <c r="AG95" s="14">
        <v>0.0012629845162901191</v>
      </c>
      <c r="AH95" s="74">
        <v>4</v>
      </c>
      <c r="AI95" s="14">
        <v>0.0011178180192264698</v>
      </c>
      <c r="AJ95" s="56"/>
      <c r="AK95" s="55"/>
      <c r="AL95" s="56"/>
      <c r="AM95" s="9">
        <v>71976.07</v>
      </c>
      <c r="AN95" s="14">
        <f t="shared" si="48"/>
        <v>0.0012873488461053115</v>
      </c>
      <c r="AO95" s="74">
        <v>6</v>
      </c>
      <c r="AP95" s="14">
        <f t="shared" si="49"/>
        <v>0.0014958863126402393</v>
      </c>
      <c r="AQ95" s="56"/>
      <c r="AR95" s="55"/>
      <c r="AS95" s="56"/>
      <c r="AT95" s="9">
        <v>6034.14</v>
      </c>
      <c r="AU95" s="14">
        <f t="shared" si="50"/>
        <v>0.00013117629371074026</v>
      </c>
      <c r="AV95" s="74">
        <v>2</v>
      </c>
      <c r="AW95" s="14">
        <f t="shared" si="51"/>
        <v>0.0005737234652897303</v>
      </c>
      <c r="AX95" s="56"/>
      <c r="AY95" s="55"/>
      <c r="AZ95" s="56"/>
      <c r="BA95" s="9">
        <v>15447.04</v>
      </c>
      <c r="BB95" s="14">
        <f t="shared" si="52"/>
        <v>0.00021192843364492</v>
      </c>
      <c r="BC95" s="74">
        <v>2</v>
      </c>
      <c r="BD95" s="14">
        <f t="shared" si="53"/>
        <v>0.0004438526409232135</v>
      </c>
      <c r="BE95" s="56"/>
      <c r="BF95" s="55"/>
      <c r="BG95" s="56"/>
      <c r="BH95" s="9">
        <v>25680.62</v>
      </c>
      <c r="BI95" s="14">
        <v>0.00038787922320988546</v>
      </c>
      <c r="BJ95" s="74">
        <v>2</v>
      </c>
      <c r="BK95" s="14">
        <v>0.000518000518000518</v>
      </c>
      <c r="BL95" s="56"/>
      <c r="BM95" s="55"/>
      <c r="BN95" s="56"/>
      <c r="BO95" s="9">
        <v>19025.85</v>
      </c>
      <c r="BP95" s="14">
        <v>0.0002921964396598558</v>
      </c>
      <c r="BQ95" s="74">
        <v>3</v>
      </c>
      <c r="BR95" s="14">
        <v>0.0008121277747698972</v>
      </c>
      <c r="BS95" s="56"/>
      <c r="BT95" s="55"/>
      <c r="BU95" s="56"/>
      <c r="BV95" s="9">
        <v>9369.69</v>
      </c>
      <c r="BW95" s="14">
        <v>0.00010407768390966496</v>
      </c>
      <c r="BX95" s="74">
        <v>2</v>
      </c>
      <c r="BY95" s="14">
        <v>0.00043299415457891317</v>
      </c>
      <c r="BZ95" s="56"/>
      <c r="CA95" s="55"/>
      <c r="CB95" s="56"/>
      <c r="CC95" s="9">
        <v>19.29</v>
      </c>
      <c r="CD95" s="14">
        <v>2.0243048464669513E-07</v>
      </c>
      <c r="CE95" s="74">
        <v>1</v>
      </c>
      <c r="CF95" s="14">
        <v>0.00021181952976064393</v>
      </c>
      <c r="CG95" s="56"/>
      <c r="CH95" s="55"/>
      <c r="CI95" s="56"/>
      <c r="CJ95" s="9">
        <v>4598.3</v>
      </c>
      <c r="CK95" s="14">
        <v>4.649857011456575E-05</v>
      </c>
      <c r="CL95" s="74">
        <v>3</v>
      </c>
      <c r="CM95" s="14">
        <v>0.0006307821698906644</v>
      </c>
      <c r="CN95" s="56"/>
      <c r="CO95" s="55"/>
      <c r="CP95" s="56"/>
      <c r="CQ95" s="9">
        <v>71405.36</v>
      </c>
      <c r="CR95" s="14">
        <v>0.000693727556039918</v>
      </c>
      <c r="CS95" s="74">
        <v>6</v>
      </c>
      <c r="CT95" s="14">
        <v>0.0012549675800041832</v>
      </c>
      <c r="CU95" s="56"/>
      <c r="CV95" s="55"/>
      <c r="CW95" s="56"/>
      <c r="CX95" s="9">
        <v>65537.15</v>
      </c>
      <c r="CY95" s="14">
        <v>0.0006069616150188403</v>
      </c>
      <c r="CZ95" s="74">
        <v>4</v>
      </c>
      <c r="DA95" s="14">
        <v>0.0008276432857438444</v>
      </c>
      <c r="DB95" s="56"/>
      <c r="DC95" s="55"/>
      <c r="DD95" s="56"/>
    </row>
    <row r="96" spans="1:108" ht="12.75">
      <c r="A96" s="8"/>
      <c r="B96" s="8"/>
      <c r="C96" s="43"/>
      <c r="D96" s="8"/>
      <c r="E96" s="46"/>
      <c r="F96" s="33"/>
      <c r="G96" s="33"/>
      <c r="H96" s="33"/>
      <c r="I96" s="9"/>
      <c r="J96" s="8"/>
      <c r="K96" s="10"/>
      <c r="L96" s="8"/>
      <c r="M96" s="54"/>
      <c r="N96" s="55"/>
      <c r="O96" s="54"/>
      <c r="P96" s="54"/>
      <c r="Q96" s="9"/>
      <c r="R96" s="8"/>
      <c r="S96" s="10"/>
      <c r="T96" s="8"/>
      <c r="U96" s="54"/>
      <c r="V96" s="55"/>
      <c r="W96" s="54"/>
      <c r="X96" s="54"/>
      <c r="Y96" s="9"/>
      <c r="Z96" s="8"/>
      <c r="AA96" s="10"/>
      <c r="AB96" s="8"/>
      <c r="AC96" s="54"/>
      <c r="AD96" s="55"/>
      <c r="AE96" s="54"/>
      <c r="AF96" s="9"/>
      <c r="AG96" s="8"/>
      <c r="AH96" s="10"/>
      <c r="AI96" s="8"/>
      <c r="AJ96" s="54"/>
      <c r="AK96" s="55"/>
      <c r="AL96" s="54"/>
      <c r="AM96" s="9"/>
      <c r="AN96" s="8"/>
      <c r="AO96" s="10"/>
      <c r="AP96" s="8"/>
      <c r="AQ96" s="54"/>
      <c r="AR96" s="55"/>
      <c r="AS96" s="54"/>
      <c r="AT96" s="9"/>
      <c r="AU96" s="8"/>
      <c r="AV96" s="10"/>
      <c r="AW96" s="8"/>
      <c r="AX96" s="54"/>
      <c r="AY96" s="55"/>
      <c r="AZ96" s="54"/>
      <c r="BA96" s="9"/>
      <c r="BB96" s="8"/>
      <c r="BC96" s="10"/>
      <c r="BD96" s="8"/>
      <c r="BE96" s="54"/>
      <c r="BF96" s="55"/>
      <c r="BG96" s="54"/>
      <c r="BH96" s="9"/>
      <c r="BI96" s="8"/>
      <c r="BJ96" s="10"/>
      <c r="BK96" s="8"/>
      <c r="BL96" s="54"/>
      <c r="BM96" s="55"/>
      <c r="BN96" s="54"/>
      <c r="BO96" s="9"/>
      <c r="BP96" s="8"/>
      <c r="BQ96" s="10"/>
      <c r="BR96" s="8"/>
      <c r="BS96" s="54"/>
      <c r="BT96" s="55"/>
      <c r="BU96" s="54"/>
      <c r="BV96" s="9"/>
      <c r="BW96" s="8"/>
      <c r="BX96" s="10"/>
      <c r="BY96" s="8"/>
      <c r="BZ96" s="54"/>
      <c r="CA96" s="55"/>
      <c r="CB96" s="54"/>
      <c r="CC96" s="9"/>
      <c r="CD96" s="8"/>
      <c r="CE96" s="10"/>
      <c r="CF96" s="8"/>
      <c r="CG96" s="54"/>
      <c r="CH96" s="55"/>
      <c r="CI96" s="54"/>
      <c r="CJ96" s="9"/>
      <c r="CK96" s="8"/>
      <c r="CL96" s="10"/>
      <c r="CM96" s="8"/>
      <c r="CN96" s="54"/>
      <c r="CO96" s="55"/>
      <c r="CP96" s="54"/>
      <c r="CQ96" s="9"/>
      <c r="CR96" s="8"/>
      <c r="CS96" s="10"/>
      <c r="CT96" s="8"/>
      <c r="CU96" s="54"/>
      <c r="CV96" s="55"/>
      <c r="CW96" s="54"/>
      <c r="CX96" s="9"/>
      <c r="CY96" s="8"/>
      <c r="CZ96" s="10"/>
      <c r="DA96" s="8"/>
      <c r="DB96" s="54"/>
      <c r="DC96" s="55"/>
      <c r="DD96" s="54"/>
    </row>
    <row r="97" spans="1:108" ht="13.5" thickBot="1">
      <c r="A97" s="8"/>
      <c r="B97" s="8"/>
      <c r="C97" s="78">
        <f>SUM(C87:C95)</f>
        <v>25729692.34</v>
      </c>
      <c r="D97" s="8"/>
      <c r="E97" s="79">
        <f>SUM(E87:E95)</f>
        <v>1858</v>
      </c>
      <c r="F97" s="8"/>
      <c r="G97" s="8"/>
      <c r="H97" s="8"/>
      <c r="I97" s="21">
        <f>SUM(I87:I95)</f>
        <v>24456072.85</v>
      </c>
      <c r="J97" s="12"/>
      <c r="K97" s="22">
        <f>SUM(K87:K95)</f>
        <v>1789</v>
      </c>
      <c r="L97" s="23"/>
      <c r="M97" s="53"/>
      <c r="N97" s="31"/>
      <c r="O97" s="57"/>
      <c r="P97" s="57"/>
      <c r="Q97" s="21">
        <f>SUM(Q87:Q95)</f>
        <v>58998886.36</v>
      </c>
      <c r="R97" s="12"/>
      <c r="S97" s="22">
        <f>SUM(S87:S95)</f>
        <v>4195</v>
      </c>
      <c r="T97" s="23"/>
      <c r="U97" s="53"/>
      <c r="V97" s="31"/>
      <c r="W97" s="57"/>
      <c r="X97" s="57"/>
      <c r="Y97" s="21">
        <f>SUM(Y87:Y95)</f>
        <v>63235264.779999994</v>
      </c>
      <c r="Z97" s="12"/>
      <c r="AA97" s="22">
        <f>SUM(AA87:AA95)</f>
        <v>4406</v>
      </c>
      <c r="AB97" s="23"/>
      <c r="AC97" s="53"/>
      <c r="AD97" s="31"/>
      <c r="AE97" s="57"/>
      <c r="AF97" s="21">
        <f>SUM(AF87:AF95)</f>
        <v>64609572.760000005</v>
      </c>
      <c r="AG97" s="12"/>
      <c r="AH97" s="22">
        <f>SUM(AH87:AH95)</f>
        <v>4473</v>
      </c>
      <c r="AI97" s="23"/>
      <c r="AJ97" s="53"/>
      <c r="AK97" s="31"/>
      <c r="AL97" s="57"/>
      <c r="AM97" s="21">
        <f>SUM(AM87:AM95)</f>
        <v>55910307.620000005</v>
      </c>
      <c r="AN97" s="12"/>
      <c r="AO97" s="22">
        <f>SUM(AO87:AO95)</f>
        <v>4011</v>
      </c>
      <c r="AP97" s="23"/>
      <c r="AQ97" s="53"/>
      <c r="AR97" s="31"/>
      <c r="AS97" s="57"/>
      <c r="AT97" s="21">
        <f>SUM(AT87:AT95)</f>
        <v>46000232.43000001</v>
      </c>
      <c r="AU97" s="12"/>
      <c r="AV97" s="22">
        <f>SUM(AV87:AV95)</f>
        <v>3486</v>
      </c>
      <c r="AW97" s="23"/>
      <c r="AX97" s="53"/>
      <c r="AY97" s="31"/>
      <c r="AZ97" s="57"/>
      <c r="BA97" s="21">
        <f>SUM(BA87:BA95)</f>
        <v>72888001.55</v>
      </c>
      <c r="BB97" s="12"/>
      <c r="BC97" s="22">
        <f>SUM(BC87:BC95)</f>
        <v>4506</v>
      </c>
      <c r="BD97" s="23"/>
      <c r="BE97" s="53"/>
      <c r="BF97" s="31"/>
      <c r="BG97" s="57"/>
      <c r="BH97" s="21">
        <f>SUM(BH87:BH95)</f>
        <v>66207774.130000114</v>
      </c>
      <c r="BI97" s="12"/>
      <c r="BJ97" s="22">
        <f>SUM(BJ87:BJ95)</f>
        <v>3861</v>
      </c>
      <c r="BK97" s="23"/>
      <c r="BL97" s="53"/>
      <c r="BM97" s="31"/>
      <c r="BN97" s="57"/>
      <c r="BO97" s="21">
        <f>SUM(BO87:BO95)</f>
        <v>65113250.6</v>
      </c>
      <c r="BP97" s="12"/>
      <c r="BQ97" s="22">
        <f>SUM(BQ87:BQ95)</f>
        <v>3694</v>
      </c>
      <c r="BR97" s="23"/>
      <c r="BS97" s="53"/>
      <c r="BT97" s="31"/>
      <c r="BU97" s="57"/>
      <c r="BV97" s="21">
        <f>SUM(BV87:BV95)</f>
        <v>90025927.25000007</v>
      </c>
      <c r="BW97" s="12"/>
      <c r="BX97" s="22">
        <f>SUM(BX87:BX95)</f>
        <v>4619</v>
      </c>
      <c r="BY97" s="23"/>
      <c r="BZ97" s="53"/>
      <c r="CA97" s="31"/>
      <c r="CB97" s="57"/>
      <c r="CC97" s="21">
        <f>SUM(CC87:CC95)</f>
        <v>95291971.62999989</v>
      </c>
      <c r="CD97" s="12"/>
      <c r="CE97" s="22">
        <f>SUM(CE87:CE95)</f>
        <v>4721</v>
      </c>
      <c r="CF97" s="23"/>
      <c r="CG97" s="53"/>
      <c r="CH97" s="31"/>
      <c r="CI97" s="57"/>
      <c r="CJ97" s="21">
        <f>SUM(CJ87:CJ95)</f>
        <v>98891212.97</v>
      </c>
      <c r="CK97" s="12"/>
      <c r="CL97" s="22">
        <f>SUM(CL87:CL95)</f>
        <v>4756</v>
      </c>
      <c r="CM97" s="23"/>
      <c r="CN97" s="53"/>
      <c r="CO97" s="31"/>
      <c r="CP97" s="57"/>
      <c r="CQ97" s="21">
        <f>SUM(CQ87:CQ95)</f>
        <v>102929975.00000021</v>
      </c>
      <c r="CR97" s="12"/>
      <c r="CS97" s="22">
        <f>SUM(CS87:CS95)</f>
        <v>4781</v>
      </c>
      <c r="CT97" s="23"/>
      <c r="CU97" s="53"/>
      <c r="CV97" s="31"/>
      <c r="CW97" s="57"/>
      <c r="CX97" s="21">
        <f>SUM(CX87:CX95)</f>
        <v>107975773.71999994</v>
      </c>
      <c r="CY97" s="12"/>
      <c r="CZ97" s="22">
        <f>SUM(CZ87:CZ95)</f>
        <v>4833</v>
      </c>
      <c r="DA97" s="23"/>
      <c r="DB97" s="53"/>
      <c r="DC97" s="31"/>
      <c r="DD97" s="57"/>
    </row>
    <row r="98" spans="1:108" ht="13.5" thickTop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</row>
    <row r="99" spans="1:108" ht="12.75">
      <c r="A99" s="19" t="s">
        <v>138</v>
      </c>
      <c r="B99" s="8"/>
      <c r="C99" s="8"/>
      <c r="D99" s="8"/>
      <c r="E99" s="8"/>
      <c r="F99" s="8"/>
      <c r="G99" s="8"/>
      <c r="H99" s="8"/>
      <c r="I99" s="19" t="s">
        <v>138</v>
      </c>
      <c r="J99" s="8"/>
      <c r="K99" s="8"/>
      <c r="L99" s="8"/>
      <c r="M99" s="8"/>
      <c r="N99" s="8"/>
      <c r="O99" s="8"/>
      <c r="P99" s="8"/>
      <c r="Q99" s="19" t="s">
        <v>138</v>
      </c>
      <c r="R99" s="8"/>
      <c r="S99" s="8"/>
      <c r="T99" s="8"/>
      <c r="U99" s="8"/>
      <c r="V99" s="8"/>
      <c r="W99" s="8"/>
      <c r="X99" s="8"/>
      <c r="Y99" s="19" t="s">
        <v>138</v>
      </c>
      <c r="Z99" s="8"/>
      <c r="AA99" s="8"/>
      <c r="AB99" s="8"/>
      <c r="AC99" s="8"/>
      <c r="AD99" s="8"/>
      <c r="AE99" s="8"/>
      <c r="AF99" s="19" t="s">
        <v>138</v>
      </c>
      <c r="AG99" s="8"/>
      <c r="AH99" s="8"/>
      <c r="AI99" s="8"/>
      <c r="AJ99" s="8"/>
      <c r="AK99" s="8"/>
      <c r="AL99" s="8"/>
      <c r="AM99" s="19" t="s">
        <v>138</v>
      </c>
      <c r="AN99" s="8"/>
      <c r="AO99" s="8"/>
      <c r="AP99" s="8"/>
      <c r="AQ99" s="8"/>
      <c r="AR99" s="8"/>
      <c r="AS99" s="8"/>
      <c r="AT99" s="19" t="s">
        <v>138</v>
      </c>
      <c r="AU99" s="8"/>
      <c r="AV99" s="8"/>
      <c r="AW99" s="8"/>
      <c r="AX99" s="8"/>
      <c r="AY99" s="8"/>
      <c r="AZ99" s="8"/>
      <c r="BA99" s="19" t="s">
        <v>138</v>
      </c>
      <c r="BB99" s="8"/>
      <c r="BC99" s="8"/>
      <c r="BD99" s="8"/>
      <c r="BE99" s="8"/>
      <c r="BF99" s="8"/>
      <c r="BG99" s="8"/>
      <c r="BH99" s="19" t="s">
        <v>138</v>
      </c>
      <c r="BI99" s="8"/>
      <c r="BJ99" s="8"/>
      <c r="BK99" s="8"/>
      <c r="BL99" s="8"/>
      <c r="BM99" s="8"/>
      <c r="BN99" s="8"/>
      <c r="BO99" s="19" t="s">
        <v>138</v>
      </c>
      <c r="BP99" s="8"/>
      <c r="BQ99" s="8"/>
      <c r="BR99" s="8"/>
      <c r="BS99" s="8"/>
      <c r="BT99" s="8"/>
      <c r="BU99" s="8"/>
      <c r="BV99" s="19" t="s">
        <v>138</v>
      </c>
      <c r="BW99" s="8"/>
      <c r="BX99" s="8"/>
      <c r="BY99" s="8"/>
      <c r="BZ99" s="8"/>
      <c r="CA99" s="8"/>
      <c r="CB99" s="8"/>
      <c r="CC99" s="19" t="s">
        <v>138</v>
      </c>
      <c r="CD99" s="8"/>
      <c r="CE99" s="8"/>
      <c r="CF99" s="8"/>
      <c r="CG99" s="8"/>
      <c r="CH99" s="8"/>
      <c r="CI99" s="8"/>
      <c r="CJ99" s="19" t="s">
        <v>138</v>
      </c>
      <c r="CK99" s="8"/>
      <c r="CL99" s="8"/>
      <c r="CM99" s="8"/>
      <c r="CN99" s="8"/>
      <c r="CO99" s="8"/>
      <c r="CP99" s="8"/>
      <c r="CQ99" s="19" t="s">
        <v>138</v>
      </c>
      <c r="CR99" s="8"/>
      <c r="CS99" s="8"/>
      <c r="CT99" s="8"/>
      <c r="CU99" s="8"/>
      <c r="CV99" s="8"/>
      <c r="CW99" s="8"/>
      <c r="CX99" s="19" t="s">
        <v>138</v>
      </c>
      <c r="CY99" s="8"/>
      <c r="CZ99" s="8"/>
      <c r="DA99" s="8"/>
      <c r="DB99" s="8"/>
      <c r="DC99" s="8"/>
      <c r="DD99" s="8"/>
    </row>
    <row r="100" spans="1:108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</row>
    <row r="101" spans="1:108" ht="12.75">
      <c r="A101" s="8" t="s">
        <v>112</v>
      </c>
      <c r="B101" s="8"/>
      <c r="C101" s="8"/>
      <c r="D101" s="8"/>
      <c r="E101" s="8"/>
      <c r="F101" s="8"/>
      <c r="G101" s="8"/>
      <c r="H101" s="8"/>
      <c r="I101" s="8" t="s">
        <v>112</v>
      </c>
      <c r="J101" s="8"/>
      <c r="K101" s="8"/>
      <c r="L101" s="9"/>
      <c r="M101" s="8"/>
      <c r="N101" s="10"/>
      <c r="O101" s="8"/>
      <c r="P101" s="8"/>
      <c r="Q101" s="8" t="s">
        <v>112</v>
      </c>
      <c r="R101" s="8"/>
      <c r="S101" s="8"/>
      <c r="T101" s="9"/>
      <c r="U101" s="8"/>
      <c r="V101" s="10"/>
      <c r="W101" s="8"/>
      <c r="X101" s="8"/>
      <c r="Y101" s="8" t="s">
        <v>112</v>
      </c>
      <c r="Z101" s="8"/>
      <c r="AA101" s="8"/>
      <c r="AB101" s="9"/>
      <c r="AC101" s="8"/>
      <c r="AD101" s="10"/>
      <c r="AE101" s="8"/>
      <c r="AF101" s="8" t="s">
        <v>112</v>
      </c>
      <c r="AG101" s="8"/>
      <c r="AH101" s="8"/>
      <c r="AI101" s="9"/>
      <c r="AJ101" s="8"/>
      <c r="AK101" s="10"/>
      <c r="AL101" s="8"/>
      <c r="AM101" s="8" t="s">
        <v>112</v>
      </c>
      <c r="AN101" s="8"/>
      <c r="AO101" s="8"/>
      <c r="AP101" s="9"/>
      <c r="AQ101" s="8"/>
      <c r="AR101" s="10"/>
      <c r="AS101" s="8"/>
      <c r="AT101" s="8" t="s">
        <v>112</v>
      </c>
      <c r="AU101" s="8"/>
      <c r="AV101" s="8"/>
      <c r="AW101" s="9"/>
      <c r="AX101" s="8"/>
      <c r="AY101" s="10"/>
      <c r="AZ101" s="8"/>
      <c r="BA101" s="8" t="s">
        <v>112</v>
      </c>
      <c r="BB101" s="8"/>
      <c r="BC101" s="8"/>
      <c r="BD101" s="9"/>
      <c r="BE101" s="8"/>
      <c r="BF101" s="10"/>
      <c r="BG101" s="8"/>
      <c r="BH101" s="8" t="s">
        <v>112</v>
      </c>
      <c r="BI101" s="8"/>
      <c r="BJ101" s="8"/>
      <c r="BK101" s="9"/>
      <c r="BL101" s="8"/>
      <c r="BM101" s="10"/>
      <c r="BN101" s="8"/>
      <c r="BO101" s="8" t="s">
        <v>112</v>
      </c>
      <c r="BP101" s="8"/>
      <c r="BQ101" s="8"/>
      <c r="BR101" s="9"/>
      <c r="BS101" s="8"/>
      <c r="BT101" s="10"/>
      <c r="BU101" s="8"/>
      <c r="BV101" s="8" t="s">
        <v>112</v>
      </c>
      <c r="BW101" s="8"/>
      <c r="BX101" s="8"/>
      <c r="BY101" s="9"/>
      <c r="BZ101" s="8"/>
      <c r="CA101" s="10"/>
      <c r="CB101" s="8"/>
      <c r="CC101" s="8" t="s">
        <v>112</v>
      </c>
      <c r="CD101" s="8"/>
      <c r="CE101" s="8"/>
      <c r="CF101" s="9"/>
      <c r="CG101" s="8"/>
      <c r="CH101" s="10"/>
      <c r="CI101" s="8"/>
      <c r="CJ101" s="8" t="s">
        <v>112</v>
      </c>
      <c r="CK101" s="8"/>
      <c r="CL101" s="8"/>
      <c r="CM101" s="9"/>
      <c r="CN101" s="8"/>
      <c r="CO101" s="10"/>
      <c r="CP101" s="8"/>
      <c r="CQ101" s="8" t="s">
        <v>112</v>
      </c>
      <c r="CR101" s="8"/>
      <c r="CS101" s="8"/>
      <c r="CT101" s="9"/>
      <c r="CU101" s="8"/>
      <c r="CV101" s="10"/>
      <c r="CW101" s="8"/>
      <c r="CX101" s="8" t="s">
        <v>112</v>
      </c>
      <c r="CY101" s="8"/>
      <c r="CZ101" s="8"/>
      <c r="DA101" s="9"/>
      <c r="DB101" s="8"/>
      <c r="DC101" s="10"/>
      <c r="DD101" s="8"/>
    </row>
    <row r="102" spans="1:108" ht="12.75">
      <c r="A102" s="8"/>
      <c r="B102" s="8"/>
      <c r="C102" s="8"/>
      <c r="D102" s="8"/>
      <c r="E102" s="8"/>
      <c r="F102" s="8"/>
      <c r="G102" s="8"/>
      <c r="H102" s="8"/>
      <c r="I102" s="19"/>
      <c r="J102" s="8"/>
      <c r="K102" s="8"/>
      <c r="L102" s="9"/>
      <c r="M102" s="8"/>
      <c r="N102" s="10"/>
      <c r="O102" s="8"/>
      <c r="P102" s="8"/>
      <c r="Q102" s="19"/>
      <c r="R102" s="8"/>
      <c r="S102" s="8"/>
      <c r="T102" s="9"/>
      <c r="U102" s="8"/>
      <c r="V102" s="10"/>
      <c r="W102" s="8"/>
      <c r="X102" s="8"/>
      <c r="Y102" s="19"/>
      <c r="Z102" s="8"/>
      <c r="AA102" s="8"/>
      <c r="AB102" s="9"/>
      <c r="AC102" s="8"/>
      <c r="AD102" s="10"/>
      <c r="AE102" s="8"/>
      <c r="AF102" s="19"/>
      <c r="AG102" s="8"/>
      <c r="AH102" s="8"/>
      <c r="AI102" s="9"/>
      <c r="AJ102" s="8"/>
      <c r="AK102" s="10"/>
      <c r="AL102" s="8"/>
      <c r="AM102" s="19"/>
      <c r="AN102" s="8"/>
      <c r="AO102" s="8"/>
      <c r="AP102" s="9"/>
      <c r="AQ102" s="8"/>
      <c r="AR102" s="10"/>
      <c r="AS102" s="8"/>
      <c r="AT102" s="19"/>
      <c r="AU102" s="8"/>
      <c r="AV102" s="8"/>
      <c r="AW102" s="9"/>
      <c r="AX102" s="8"/>
      <c r="AY102" s="10"/>
      <c r="AZ102" s="8"/>
      <c r="BA102" s="19"/>
      <c r="BB102" s="8"/>
      <c r="BC102" s="8"/>
      <c r="BD102" s="9"/>
      <c r="BE102" s="8"/>
      <c r="BF102" s="10"/>
      <c r="BG102" s="8"/>
      <c r="BH102" s="19"/>
      <c r="BI102" s="8"/>
      <c r="BJ102" s="8"/>
      <c r="BK102" s="9"/>
      <c r="BL102" s="8"/>
      <c r="BM102" s="10"/>
      <c r="BN102" s="8"/>
      <c r="BO102" s="19"/>
      <c r="BP102" s="8"/>
      <c r="BQ102" s="8"/>
      <c r="BR102" s="9"/>
      <c r="BS102" s="8"/>
      <c r="BT102" s="10"/>
      <c r="BU102" s="8"/>
      <c r="BV102" s="19"/>
      <c r="BW102" s="8"/>
      <c r="BX102" s="8"/>
      <c r="BY102" s="9"/>
      <c r="BZ102" s="8"/>
      <c r="CA102" s="10"/>
      <c r="CB102" s="8"/>
      <c r="CC102" s="19"/>
      <c r="CD102" s="8"/>
      <c r="CE102" s="8"/>
      <c r="CF102" s="9"/>
      <c r="CG102" s="8"/>
      <c r="CH102" s="10"/>
      <c r="CI102" s="8"/>
      <c r="CJ102" s="19"/>
      <c r="CK102" s="8"/>
      <c r="CL102" s="8"/>
      <c r="CM102" s="9"/>
      <c r="CN102" s="8"/>
      <c r="CO102" s="10"/>
      <c r="CP102" s="8"/>
      <c r="CQ102" s="19"/>
      <c r="CR102" s="8"/>
      <c r="CS102" s="8"/>
      <c r="CT102" s="9"/>
      <c r="CU102" s="8"/>
      <c r="CV102" s="10"/>
      <c r="CW102" s="8"/>
      <c r="CX102" s="19"/>
      <c r="CY102" s="8"/>
      <c r="CZ102" s="8"/>
      <c r="DA102" s="9"/>
      <c r="DB102" s="8"/>
      <c r="DC102" s="10"/>
      <c r="DD102" s="8"/>
    </row>
    <row r="103" spans="1:108" s="45" customFormat="1" ht="12.75">
      <c r="A103" s="26"/>
      <c r="B103" s="26"/>
      <c r="C103" s="26" t="s">
        <v>99</v>
      </c>
      <c r="D103" s="26" t="s">
        <v>100</v>
      </c>
      <c r="E103" s="26" t="s">
        <v>101</v>
      </c>
      <c r="F103" s="26" t="s">
        <v>100</v>
      </c>
      <c r="G103" s="26"/>
      <c r="H103" s="26"/>
      <c r="I103" s="26" t="s">
        <v>99</v>
      </c>
      <c r="J103" s="44" t="s">
        <v>100</v>
      </c>
      <c r="K103" s="26" t="s">
        <v>101</v>
      </c>
      <c r="L103" s="26" t="s">
        <v>100</v>
      </c>
      <c r="M103" s="72"/>
      <c r="N103" s="64"/>
      <c r="O103" s="64"/>
      <c r="P103" s="64"/>
      <c r="Q103" s="26" t="s">
        <v>99</v>
      </c>
      <c r="R103" s="44" t="s">
        <v>100</v>
      </c>
      <c r="S103" s="26" t="s">
        <v>101</v>
      </c>
      <c r="T103" s="26" t="s">
        <v>100</v>
      </c>
      <c r="U103" s="72"/>
      <c r="V103" s="64"/>
      <c r="W103" s="64"/>
      <c r="X103" s="64"/>
      <c r="Y103" s="26" t="s">
        <v>99</v>
      </c>
      <c r="Z103" s="44" t="s">
        <v>100</v>
      </c>
      <c r="AA103" s="26" t="s">
        <v>101</v>
      </c>
      <c r="AB103" s="26" t="s">
        <v>100</v>
      </c>
      <c r="AC103" s="72"/>
      <c r="AD103" s="64"/>
      <c r="AE103" s="64"/>
      <c r="AF103" s="26" t="s">
        <v>99</v>
      </c>
      <c r="AG103" s="44" t="s">
        <v>100</v>
      </c>
      <c r="AH103" s="26" t="s">
        <v>101</v>
      </c>
      <c r="AI103" s="26" t="s">
        <v>100</v>
      </c>
      <c r="AJ103" s="72"/>
      <c r="AK103" s="64"/>
      <c r="AL103" s="64"/>
      <c r="AM103" s="26" t="s">
        <v>99</v>
      </c>
      <c r="AN103" s="44" t="s">
        <v>100</v>
      </c>
      <c r="AO103" s="26" t="s">
        <v>101</v>
      </c>
      <c r="AP103" s="26" t="s">
        <v>100</v>
      </c>
      <c r="AQ103" s="72"/>
      <c r="AR103" s="64"/>
      <c r="AS103" s="64"/>
      <c r="AT103" s="26" t="s">
        <v>99</v>
      </c>
      <c r="AU103" s="44" t="s">
        <v>100</v>
      </c>
      <c r="AV103" s="26" t="s">
        <v>101</v>
      </c>
      <c r="AW103" s="26" t="s">
        <v>100</v>
      </c>
      <c r="AX103" s="72"/>
      <c r="AY103" s="64"/>
      <c r="AZ103" s="64"/>
      <c r="BA103" s="26" t="s">
        <v>99</v>
      </c>
      <c r="BB103" s="44" t="s">
        <v>100</v>
      </c>
      <c r="BC103" s="26" t="s">
        <v>101</v>
      </c>
      <c r="BD103" s="26" t="s">
        <v>100</v>
      </c>
      <c r="BE103" s="72"/>
      <c r="BF103" s="64"/>
      <c r="BG103" s="64"/>
      <c r="BH103" s="44" t="s">
        <v>99</v>
      </c>
      <c r="BI103" s="44" t="s">
        <v>100</v>
      </c>
      <c r="BJ103" s="44" t="s">
        <v>101</v>
      </c>
      <c r="BK103" s="44" t="s">
        <v>100</v>
      </c>
      <c r="BL103" s="72"/>
      <c r="BM103" s="64"/>
      <c r="BN103" s="64"/>
      <c r="BO103" s="44" t="s">
        <v>99</v>
      </c>
      <c r="BP103" s="44" t="s">
        <v>100</v>
      </c>
      <c r="BQ103" s="44" t="s">
        <v>101</v>
      </c>
      <c r="BR103" s="44" t="s">
        <v>100</v>
      </c>
      <c r="BS103" s="72"/>
      <c r="BT103" s="64"/>
      <c r="BU103" s="64"/>
      <c r="BV103" s="44" t="s">
        <v>99</v>
      </c>
      <c r="BW103" s="44" t="s">
        <v>100</v>
      </c>
      <c r="BX103" s="44" t="s">
        <v>101</v>
      </c>
      <c r="BY103" s="44" t="s">
        <v>100</v>
      </c>
      <c r="BZ103" s="72"/>
      <c r="CA103" s="64"/>
      <c r="CB103" s="64"/>
      <c r="CC103" s="44" t="s">
        <v>99</v>
      </c>
      <c r="CD103" s="44" t="s">
        <v>100</v>
      </c>
      <c r="CE103" s="44" t="s">
        <v>101</v>
      </c>
      <c r="CF103" s="44" t="s">
        <v>100</v>
      </c>
      <c r="CG103" s="72"/>
      <c r="CH103" s="64"/>
      <c r="CI103" s="64"/>
      <c r="CJ103" s="44" t="s">
        <v>99</v>
      </c>
      <c r="CK103" s="44" t="s">
        <v>100</v>
      </c>
      <c r="CL103" s="44" t="s">
        <v>101</v>
      </c>
      <c r="CM103" s="44" t="s">
        <v>100</v>
      </c>
      <c r="CN103" s="72"/>
      <c r="CO103" s="64"/>
      <c r="CP103" s="64"/>
      <c r="CQ103" s="44" t="s">
        <v>99</v>
      </c>
      <c r="CR103" s="44" t="s">
        <v>100</v>
      </c>
      <c r="CS103" s="44" t="s">
        <v>101</v>
      </c>
      <c r="CT103" s="44" t="s">
        <v>100</v>
      </c>
      <c r="CU103" s="72"/>
      <c r="CV103" s="64"/>
      <c r="CW103" s="64"/>
      <c r="CX103" s="44" t="s">
        <v>99</v>
      </c>
      <c r="CY103" s="44" t="s">
        <v>100</v>
      </c>
      <c r="CZ103" s="44" t="s">
        <v>101</v>
      </c>
      <c r="DA103" s="44" t="s">
        <v>100</v>
      </c>
      <c r="DB103" s="72"/>
      <c r="DC103" s="64"/>
      <c r="DD103" s="64"/>
    </row>
    <row r="104" spans="1:108" ht="12.75">
      <c r="A104" s="8"/>
      <c r="B104" s="8"/>
      <c r="C104" s="8"/>
      <c r="D104" s="8"/>
      <c r="E104" s="8"/>
      <c r="F104" s="8"/>
      <c r="G104" s="8"/>
      <c r="H104" s="8"/>
      <c r="I104" s="9"/>
      <c r="J104" s="8"/>
      <c r="K104" s="10"/>
      <c r="L104" s="8"/>
      <c r="M104" s="54"/>
      <c r="N104" s="55"/>
      <c r="O104" s="54"/>
      <c r="P104" s="54"/>
      <c r="Q104" s="9"/>
      <c r="R104" s="8"/>
      <c r="S104" s="10"/>
      <c r="T104" s="8"/>
      <c r="U104" s="54"/>
      <c r="V104" s="55"/>
      <c r="W104" s="54"/>
      <c r="X104" s="54"/>
      <c r="Y104" s="9"/>
      <c r="Z104" s="8"/>
      <c r="AA104" s="10"/>
      <c r="AB104" s="8"/>
      <c r="AC104" s="54"/>
      <c r="AD104" s="55"/>
      <c r="AE104" s="54"/>
      <c r="AF104" s="9"/>
      <c r="AG104" s="8"/>
      <c r="AH104" s="10"/>
      <c r="AI104" s="8"/>
      <c r="AJ104" s="54"/>
      <c r="AK104" s="55"/>
      <c r="AL104" s="54"/>
      <c r="AM104" s="9"/>
      <c r="AN104" s="8"/>
      <c r="AO104" s="10"/>
      <c r="AP104" s="8"/>
      <c r="AQ104" s="54"/>
      <c r="AR104" s="55"/>
      <c r="AS104" s="54"/>
      <c r="AT104" s="9"/>
      <c r="AU104" s="8"/>
      <c r="AV104" s="10"/>
      <c r="AW104" s="8"/>
      <c r="AX104" s="54"/>
      <c r="AY104" s="55"/>
      <c r="AZ104" s="54"/>
      <c r="BA104" s="9"/>
      <c r="BB104" s="8"/>
      <c r="BC104" s="10"/>
      <c r="BD104" s="8"/>
      <c r="BE104" s="54"/>
      <c r="BF104" s="55"/>
      <c r="BG104" s="54"/>
      <c r="BH104" s="9"/>
      <c r="BI104" s="8"/>
      <c r="BJ104" s="10"/>
      <c r="BK104" s="8"/>
      <c r="BL104" s="54"/>
      <c r="BM104" s="55"/>
      <c r="BN104" s="54"/>
      <c r="BO104" s="9"/>
      <c r="BP104" s="8"/>
      <c r="BQ104" s="10"/>
      <c r="BR104" s="8"/>
      <c r="BS104" s="54"/>
      <c r="BT104" s="55"/>
      <c r="BU104" s="54"/>
      <c r="BV104" s="9"/>
      <c r="BW104" s="8"/>
      <c r="BX104" s="10"/>
      <c r="BY104" s="8"/>
      <c r="BZ104" s="54"/>
      <c r="CA104" s="55"/>
      <c r="CB104" s="54"/>
      <c r="CC104" s="9"/>
      <c r="CD104" s="8"/>
      <c r="CE104" s="10"/>
      <c r="CF104" s="8"/>
      <c r="CG104" s="54"/>
      <c r="CH104" s="55"/>
      <c r="CI104" s="54"/>
      <c r="CJ104" s="9"/>
      <c r="CK104" s="8"/>
      <c r="CL104" s="10"/>
      <c r="CM104" s="8"/>
      <c r="CN104" s="54"/>
      <c r="CO104" s="55"/>
      <c r="CP104" s="54"/>
      <c r="CQ104" s="9"/>
      <c r="CR104" s="8"/>
      <c r="CS104" s="10"/>
      <c r="CT104" s="8"/>
      <c r="CU104" s="54"/>
      <c r="CV104" s="55"/>
      <c r="CW104" s="54"/>
      <c r="CX104" s="9"/>
      <c r="CY104" s="8"/>
      <c r="CZ104" s="10"/>
      <c r="DA104" s="8"/>
      <c r="DB104" s="54"/>
      <c r="DC104" s="55"/>
      <c r="DD104" s="54"/>
    </row>
    <row r="105" spans="1:108" ht="12.75">
      <c r="A105" s="8" t="s">
        <v>43</v>
      </c>
      <c r="B105" s="8"/>
      <c r="C105" s="43">
        <v>26139191.720000044</v>
      </c>
      <c r="D105" s="33">
        <f>+C105/C115</f>
        <v>0.9897628858777091</v>
      </c>
      <c r="E105" s="46">
        <v>3522</v>
      </c>
      <c r="F105" s="33">
        <f>+E105/E115</f>
        <v>0.9918332863981977</v>
      </c>
      <c r="G105" s="33"/>
      <c r="H105" s="33"/>
      <c r="I105" s="9">
        <v>23990076.69</v>
      </c>
      <c r="J105" s="14">
        <f>+I105/I115</f>
        <v>0.9859719961347734</v>
      </c>
      <c r="K105" s="10">
        <v>3394</v>
      </c>
      <c r="L105" s="14">
        <f>+K105/K115</f>
        <v>0.9854819976771196</v>
      </c>
      <c r="M105" s="56"/>
      <c r="N105" s="55"/>
      <c r="O105" s="56"/>
      <c r="P105" s="56"/>
      <c r="Q105" s="9">
        <v>37473186.15</v>
      </c>
      <c r="R105" s="14">
        <f>+Q105/$Q$115</f>
        <v>0.9875008912412817</v>
      </c>
      <c r="S105" s="10">
        <v>5554</v>
      </c>
      <c r="T105" s="14">
        <f>+S105/$S$115</f>
        <v>0.9872022751510843</v>
      </c>
      <c r="U105" s="56"/>
      <c r="V105" s="55"/>
      <c r="W105" s="56"/>
      <c r="X105" s="56"/>
      <c r="Y105" s="9">
        <v>45946686.34</v>
      </c>
      <c r="Z105" s="14">
        <v>0.9863866205053998</v>
      </c>
      <c r="AA105" s="10">
        <v>6911</v>
      </c>
      <c r="AB105" s="14">
        <v>0.9893857911123691</v>
      </c>
      <c r="AC105" s="56"/>
      <c r="AD105" s="55"/>
      <c r="AE105" s="56"/>
      <c r="AF105" s="9">
        <v>49262556.16</v>
      </c>
      <c r="AG105" s="14">
        <v>0.9834862182448926</v>
      </c>
      <c r="AH105" s="10">
        <v>7708</v>
      </c>
      <c r="AI105" s="14">
        <v>0.9854981084489282</v>
      </c>
      <c r="AJ105" s="56"/>
      <c r="AK105" s="55"/>
      <c r="AL105" s="56"/>
      <c r="AM105" s="9">
        <v>55200750.19</v>
      </c>
      <c r="AN105" s="14">
        <f>+AM105/$AM$115</f>
        <v>0.9846920607509633</v>
      </c>
      <c r="AO105" s="10">
        <v>8752</v>
      </c>
      <c r="AP105" s="14">
        <f>+AO105/$AO$115</f>
        <v>0.9685701637892873</v>
      </c>
      <c r="AQ105" s="56"/>
      <c r="AR105" s="55"/>
      <c r="AS105" s="56"/>
      <c r="AT105" s="9">
        <v>66641476</v>
      </c>
      <c r="AU105" s="14">
        <f>+AT105/$AT$115</f>
        <v>0.986136766510163</v>
      </c>
      <c r="AV105" s="10">
        <v>10704</v>
      </c>
      <c r="AW105" s="14">
        <f>+AV105/$AV$115</f>
        <v>0.9678119349005425</v>
      </c>
      <c r="AX105" s="56"/>
      <c r="AY105" s="55"/>
      <c r="AZ105" s="56"/>
      <c r="BA105" s="9">
        <v>71942830.03</v>
      </c>
      <c r="BB105" s="14">
        <f>+BA105/$BA$115</f>
        <v>0.9882828477132449</v>
      </c>
      <c r="BC105" s="10">
        <v>11719</v>
      </c>
      <c r="BD105" s="14">
        <f>+BC105/$BC$115</f>
        <v>0.9638920875143938</v>
      </c>
      <c r="BE105" s="56"/>
      <c r="BF105" s="55"/>
      <c r="BG105" s="56"/>
      <c r="BH105" s="9">
        <v>63789732.74000022</v>
      </c>
      <c r="BI105" s="14">
        <v>0.9882803486735847</v>
      </c>
      <c r="BJ105" s="10">
        <v>10972</v>
      </c>
      <c r="BK105" s="14">
        <v>0.9900739938639235</v>
      </c>
      <c r="BL105" s="56"/>
      <c r="BM105" s="55"/>
      <c r="BN105" s="56"/>
      <c r="BO105" s="9">
        <v>55175421.08000005</v>
      </c>
      <c r="BP105" s="14">
        <v>0.986617637659534</v>
      </c>
      <c r="BQ105" s="10">
        <v>10082</v>
      </c>
      <c r="BR105" s="14">
        <v>0.9890131449872474</v>
      </c>
      <c r="BS105" s="56"/>
      <c r="BT105" s="55"/>
      <c r="BU105" s="56"/>
      <c r="BV105" s="9">
        <v>52717753.89000014</v>
      </c>
      <c r="BW105" s="14">
        <v>0.9817584191840225</v>
      </c>
      <c r="BX105" s="10">
        <v>9953</v>
      </c>
      <c r="BY105" s="14">
        <v>0.9872049196587979</v>
      </c>
      <c r="BZ105" s="56"/>
      <c r="CA105" s="55"/>
      <c r="CB105" s="56"/>
      <c r="CC105" s="9">
        <v>51765096.62999991</v>
      </c>
      <c r="CD105" s="14">
        <v>0.9769820126894968</v>
      </c>
      <c r="CE105" s="10">
        <v>9705</v>
      </c>
      <c r="CF105" s="14">
        <v>0.9822874493927125</v>
      </c>
      <c r="CG105" s="56"/>
      <c r="CH105" s="55"/>
      <c r="CI105" s="56"/>
      <c r="CJ105" s="9">
        <v>50311872.67999973</v>
      </c>
      <c r="CK105" s="14">
        <v>0.9771163868912947</v>
      </c>
      <c r="CL105" s="10">
        <v>9237</v>
      </c>
      <c r="CM105" s="14">
        <v>0.9815109977685686</v>
      </c>
      <c r="CN105" s="56"/>
      <c r="CO105" s="55"/>
      <c r="CP105" s="56"/>
      <c r="CQ105" s="9">
        <v>44440748.610000014</v>
      </c>
      <c r="CR105" s="14">
        <v>0.9736113580343124</v>
      </c>
      <c r="CS105" s="10">
        <v>8297</v>
      </c>
      <c r="CT105" s="14">
        <v>0.9799220503129799</v>
      </c>
      <c r="CU105" s="56"/>
      <c r="CV105" s="55"/>
      <c r="CW105" s="56"/>
      <c r="CX105" s="9">
        <v>70338751.1999998</v>
      </c>
      <c r="CY105" s="14">
        <v>0.9820353718066903</v>
      </c>
      <c r="CZ105" s="10">
        <v>13266</v>
      </c>
      <c r="DA105" s="14">
        <v>0.9856601530574337</v>
      </c>
      <c r="DB105" s="56"/>
      <c r="DC105" s="55"/>
      <c r="DD105" s="56"/>
    </row>
    <row r="106" spans="1:108" ht="12.75">
      <c r="A106" s="8" t="s">
        <v>44</v>
      </c>
      <c r="B106" s="8"/>
      <c r="C106" s="43">
        <v>120858.4</v>
      </c>
      <c r="D106" s="33">
        <f>+C106/$C$115</f>
        <v>0.004576314372989431</v>
      </c>
      <c r="E106" s="46">
        <v>14</v>
      </c>
      <c r="F106" s="33">
        <f>+E106/$E$115</f>
        <v>0.003942551393973529</v>
      </c>
      <c r="G106" s="33"/>
      <c r="H106" s="33"/>
      <c r="I106" s="9">
        <v>165862.79</v>
      </c>
      <c r="J106" s="14">
        <f>+I106/$I$115</f>
        <v>0.006816821315496292</v>
      </c>
      <c r="K106" s="10">
        <v>21</v>
      </c>
      <c r="L106" s="14">
        <f>+K106/$K$115</f>
        <v>0.006097560975609756</v>
      </c>
      <c r="M106" s="56"/>
      <c r="N106" s="55"/>
      <c r="O106" s="56"/>
      <c r="P106" s="56"/>
      <c r="Q106" s="9">
        <v>205861.87</v>
      </c>
      <c r="R106" s="14">
        <f aca="true" t="shared" si="58" ref="R106:R113">+Q106/$Q$115</f>
        <v>0.0054249131441308435</v>
      </c>
      <c r="S106" s="10">
        <v>22</v>
      </c>
      <c r="T106" s="14">
        <f aca="true" t="shared" si="59" ref="T106:T113">+S106/$S$115</f>
        <v>0.0039104159260575895</v>
      </c>
      <c r="U106" s="56"/>
      <c r="V106" s="55"/>
      <c r="W106" s="56"/>
      <c r="X106" s="56"/>
      <c r="Y106" s="9">
        <v>192846.28</v>
      </c>
      <c r="Z106" s="14">
        <v>0.004134516749429358</v>
      </c>
      <c r="AA106" s="10">
        <v>30</v>
      </c>
      <c r="AB106" s="14">
        <v>0.0042456835550523635</v>
      </c>
      <c r="AC106" s="56"/>
      <c r="AD106" s="55"/>
      <c r="AE106" s="56"/>
      <c r="AF106" s="9">
        <v>307418.34</v>
      </c>
      <c r="AG106" s="14">
        <v>0.006170024064354495</v>
      </c>
      <c r="AH106" s="10">
        <v>41</v>
      </c>
      <c r="AI106" s="14">
        <v>0.005926860025220681</v>
      </c>
      <c r="AJ106" s="56"/>
      <c r="AK106" s="55"/>
      <c r="AL106" s="56"/>
      <c r="AM106" s="9">
        <v>345551.32</v>
      </c>
      <c r="AN106" s="14">
        <f aca="true" t="shared" si="60" ref="AN106:AN113">+AM106/$AM$115</f>
        <v>0.006164076397781571</v>
      </c>
      <c r="AO106" s="10">
        <v>43</v>
      </c>
      <c r="AP106" s="14">
        <f aca="true" t="shared" si="61" ref="AP106:AP113">+AO106/$AO$115</f>
        <v>0.004758742806551572</v>
      </c>
      <c r="AQ106" s="56"/>
      <c r="AR106" s="55"/>
      <c r="AS106" s="56"/>
      <c r="AT106" s="9">
        <v>335187.19</v>
      </c>
      <c r="AU106" s="14">
        <f aca="true" t="shared" si="62" ref="AU106:AU113">+AT106/$AT$115</f>
        <v>0.004959980354009981</v>
      </c>
      <c r="AV106" s="10">
        <v>45</v>
      </c>
      <c r="AW106" s="14">
        <f aca="true" t="shared" si="63" ref="AW106:AW113">+AV106/$AV$115</f>
        <v>0.00406871609403255</v>
      </c>
      <c r="AX106" s="56"/>
      <c r="AY106" s="55"/>
      <c r="AZ106" s="56"/>
      <c r="BA106" s="9">
        <v>292693.45</v>
      </c>
      <c r="BB106" s="14">
        <f aca="true" t="shared" si="64" ref="BB106:BB113">+BA106/$BA$115</f>
        <v>0.004020746975791637</v>
      </c>
      <c r="BC106" s="10">
        <v>43</v>
      </c>
      <c r="BD106" s="14">
        <f aca="true" t="shared" si="65" ref="BD106:BD113">+BC106/$BC$115</f>
        <v>0.0035367659154466194</v>
      </c>
      <c r="BE106" s="56"/>
      <c r="BF106" s="55"/>
      <c r="BG106" s="56"/>
      <c r="BH106" s="9">
        <v>229952.91</v>
      </c>
      <c r="BI106" s="14">
        <v>0.00356261003631389</v>
      </c>
      <c r="BJ106" s="10">
        <v>35</v>
      </c>
      <c r="BK106" s="14">
        <v>0.003158274679660711</v>
      </c>
      <c r="BL106" s="56"/>
      <c r="BM106" s="55"/>
      <c r="BN106" s="56"/>
      <c r="BO106" s="9">
        <v>277988.23</v>
      </c>
      <c r="BP106" s="14">
        <v>0.004970838199532504</v>
      </c>
      <c r="BQ106" s="10">
        <v>43</v>
      </c>
      <c r="BR106" s="14">
        <v>0.004218167549538945</v>
      </c>
      <c r="BS106" s="56"/>
      <c r="BT106" s="55"/>
      <c r="BU106" s="56"/>
      <c r="BV106" s="9">
        <v>383213.29</v>
      </c>
      <c r="BW106" s="14">
        <v>0.007136549758658686</v>
      </c>
      <c r="BX106" s="10">
        <v>51</v>
      </c>
      <c r="BY106" s="14">
        <v>0.00505852013489387</v>
      </c>
      <c r="BZ106" s="56"/>
      <c r="CA106" s="55"/>
      <c r="CB106" s="56"/>
      <c r="CC106" s="9">
        <v>545961.34</v>
      </c>
      <c r="CD106" s="14">
        <v>0.010304132388979871</v>
      </c>
      <c r="CE106" s="10">
        <v>81</v>
      </c>
      <c r="CF106" s="14">
        <v>0.00819838056680162</v>
      </c>
      <c r="CG106" s="56"/>
      <c r="CH106" s="55"/>
      <c r="CI106" s="56"/>
      <c r="CJ106" s="9">
        <v>345387.91</v>
      </c>
      <c r="CK106" s="14">
        <v>0.0067078438690137306</v>
      </c>
      <c r="CL106" s="10">
        <v>59</v>
      </c>
      <c r="CM106" s="14">
        <v>0.006269259377324408</v>
      </c>
      <c r="CN106" s="56"/>
      <c r="CO106" s="55"/>
      <c r="CP106" s="56"/>
      <c r="CQ106" s="9">
        <v>310373.84</v>
      </c>
      <c r="CR106" s="14">
        <v>0.0067996940940983006</v>
      </c>
      <c r="CS106" s="10">
        <v>45</v>
      </c>
      <c r="CT106" s="14">
        <v>0.00531475138774064</v>
      </c>
      <c r="CU106" s="56"/>
      <c r="CV106" s="55"/>
      <c r="CW106" s="56"/>
      <c r="CX106" s="9">
        <v>367583.09</v>
      </c>
      <c r="CY106" s="14">
        <v>0.005132015998288054</v>
      </c>
      <c r="CZ106" s="10">
        <v>64</v>
      </c>
      <c r="DA106" s="14">
        <v>0.0047551824058250985</v>
      </c>
      <c r="DB106" s="56"/>
      <c r="DC106" s="55"/>
      <c r="DD106" s="56"/>
    </row>
    <row r="107" spans="1:108" ht="12.75">
      <c r="A107" s="8" t="s">
        <v>45</v>
      </c>
      <c r="B107" s="8"/>
      <c r="C107" s="43">
        <v>53439.91</v>
      </c>
      <c r="D107" s="33">
        <f aca="true" t="shared" si="66" ref="D107:D113">+C107/$C$115</f>
        <v>0.002023507081214559</v>
      </c>
      <c r="E107" s="46">
        <v>7</v>
      </c>
      <c r="F107" s="33">
        <f aca="true" t="shared" si="67" ref="F107:F113">+E107/$E$115</f>
        <v>0.0019712756969867645</v>
      </c>
      <c r="G107" s="33"/>
      <c r="H107" s="33"/>
      <c r="I107" s="9">
        <v>51024.96</v>
      </c>
      <c r="J107" s="14">
        <f aca="true" t="shared" si="68" ref="J107:J113">+I107/$I$115</f>
        <v>0.0020970829861860257</v>
      </c>
      <c r="K107" s="10">
        <v>7</v>
      </c>
      <c r="L107" s="14">
        <f aca="true" t="shared" si="69" ref="L107:L113">+K107/$K$115</f>
        <v>0.0020325203252032522</v>
      </c>
      <c r="M107" s="56"/>
      <c r="N107" s="55"/>
      <c r="O107" s="56"/>
      <c r="P107" s="56"/>
      <c r="Q107" s="9">
        <v>69349.95</v>
      </c>
      <c r="R107" s="14">
        <f t="shared" si="58"/>
        <v>0.0018275237434684567</v>
      </c>
      <c r="S107" s="10">
        <v>7</v>
      </c>
      <c r="T107" s="14">
        <f t="shared" si="59"/>
        <v>0.001244223249200142</v>
      </c>
      <c r="U107" s="56"/>
      <c r="V107" s="55"/>
      <c r="W107" s="56"/>
      <c r="X107" s="56"/>
      <c r="Y107" s="9">
        <v>154865.17</v>
      </c>
      <c r="Z107" s="14">
        <v>0.0033202229219470815</v>
      </c>
      <c r="AA107" s="10">
        <v>14</v>
      </c>
      <c r="AB107" s="14">
        <v>0.0019813189923577695</v>
      </c>
      <c r="AC107" s="56"/>
      <c r="AD107" s="55"/>
      <c r="AE107" s="56"/>
      <c r="AF107" s="9">
        <v>103056.33</v>
      </c>
      <c r="AG107" s="14">
        <v>0.002127652254268847</v>
      </c>
      <c r="AH107" s="10">
        <v>12</v>
      </c>
      <c r="AI107" s="14">
        <v>0.0017654476670870113</v>
      </c>
      <c r="AJ107" s="56"/>
      <c r="AK107" s="55"/>
      <c r="AL107" s="56"/>
      <c r="AM107" s="9">
        <v>120198.26</v>
      </c>
      <c r="AN107" s="14">
        <f t="shared" si="60"/>
        <v>0.002144142460576949</v>
      </c>
      <c r="AO107" s="10">
        <v>13</v>
      </c>
      <c r="AP107" s="14">
        <f t="shared" si="61"/>
        <v>0.001438689685701638</v>
      </c>
      <c r="AQ107" s="56"/>
      <c r="AR107" s="55"/>
      <c r="AS107" s="56"/>
      <c r="AT107" s="9">
        <v>163375.94</v>
      </c>
      <c r="AU107" s="14">
        <f t="shared" si="62"/>
        <v>0.002417578824291923</v>
      </c>
      <c r="AV107" s="10">
        <v>21</v>
      </c>
      <c r="AW107" s="14">
        <f t="shared" si="63"/>
        <v>0.0018987341772151898</v>
      </c>
      <c r="AX107" s="56"/>
      <c r="AY107" s="55"/>
      <c r="AZ107" s="56"/>
      <c r="BA107" s="9">
        <v>158335.67</v>
      </c>
      <c r="BB107" s="14">
        <f t="shared" si="64"/>
        <v>0.002175066323870393</v>
      </c>
      <c r="BC107" s="10">
        <v>22</v>
      </c>
      <c r="BD107" s="14">
        <f t="shared" si="65"/>
        <v>0.0018095081427866426</v>
      </c>
      <c r="BE107" s="56"/>
      <c r="BF107" s="55"/>
      <c r="BG107" s="56"/>
      <c r="BH107" s="9">
        <v>129375.85</v>
      </c>
      <c r="BI107" s="14">
        <v>0.002004391689005546</v>
      </c>
      <c r="BJ107" s="10">
        <v>18</v>
      </c>
      <c r="BK107" s="14">
        <v>0.0016242555495397943</v>
      </c>
      <c r="BL107" s="56"/>
      <c r="BM107" s="55"/>
      <c r="BN107" s="56"/>
      <c r="BO107" s="9">
        <v>103311.62</v>
      </c>
      <c r="BP107" s="14">
        <v>0.0018473636353294029</v>
      </c>
      <c r="BQ107" s="10">
        <v>14</v>
      </c>
      <c r="BR107" s="14">
        <v>0.001373356876594075</v>
      </c>
      <c r="BS107" s="56"/>
      <c r="BT107" s="55"/>
      <c r="BU107" s="56"/>
      <c r="BV107" s="9">
        <v>125826.38</v>
      </c>
      <c r="BW107" s="14">
        <v>0.0023432543840582764</v>
      </c>
      <c r="BX107" s="10">
        <v>17</v>
      </c>
      <c r="BY107" s="14">
        <v>0.0016861733782979568</v>
      </c>
      <c r="BZ107" s="56"/>
      <c r="CA107" s="55"/>
      <c r="CB107" s="56"/>
      <c r="CC107" s="9">
        <v>128216.94</v>
      </c>
      <c r="CD107" s="14">
        <v>0.0024198862217421624</v>
      </c>
      <c r="CE107" s="10">
        <v>24</v>
      </c>
      <c r="CF107" s="14">
        <v>0.0024291497975708503</v>
      </c>
      <c r="CG107" s="56"/>
      <c r="CH107" s="55"/>
      <c r="CI107" s="56"/>
      <c r="CJ107" s="9">
        <v>196405.04</v>
      </c>
      <c r="CK107" s="14">
        <v>0.0038144193970408424</v>
      </c>
      <c r="CL107" s="10">
        <v>29</v>
      </c>
      <c r="CM107" s="14">
        <v>0.003081500371905217</v>
      </c>
      <c r="CN107" s="56"/>
      <c r="CO107" s="55"/>
      <c r="CP107" s="56"/>
      <c r="CQ107" s="9">
        <v>200930.12</v>
      </c>
      <c r="CR107" s="14">
        <v>0.004401992610880037</v>
      </c>
      <c r="CS107" s="10">
        <v>26</v>
      </c>
      <c r="CT107" s="14">
        <v>0.0030707452462501476</v>
      </c>
      <c r="CU107" s="56"/>
      <c r="CV107" s="55"/>
      <c r="CW107" s="56"/>
      <c r="CX107" s="9">
        <v>256102.96</v>
      </c>
      <c r="CY107" s="14">
        <v>0.003575584741748937</v>
      </c>
      <c r="CZ107" s="10">
        <v>33</v>
      </c>
      <c r="DA107" s="14">
        <v>0.0024518909280035663</v>
      </c>
      <c r="DB107" s="56"/>
      <c r="DC107" s="55"/>
      <c r="DD107" s="56"/>
    </row>
    <row r="108" spans="1:108" ht="12.75">
      <c r="A108" s="8" t="s">
        <v>46</v>
      </c>
      <c r="B108" s="8"/>
      <c r="C108" s="43">
        <v>45072.47</v>
      </c>
      <c r="D108" s="33">
        <f t="shared" si="66"/>
        <v>0.0017066732001013991</v>
      </c>
      <c r="E108" s="46">
        <v>5</v>
      </c>
      <c r="F108" s="33">
        <f t="shared" si="67"/>
        <v>0.0014080540692762602</v>
      </c>
      <c r="G108" s="33"/>
      <c r="H108" s="33"/>
      <c r="I108" s="9">
        <v>44843.42</v>
      </c>
      <c r="J108" s="14">
        <f t="shared" si="68"/>
        <v>0.001843026885751486</v>
      </c>
      <c r="K108" s="10">
        <v>5</v>
      </c>
      <c r="L108" s="14">
        <f t="shared" si="69"/>
        <v>0.0014518002322880372</v>
      </c>
      <c r="M108" s="56"/>
      <c r="N108" s="55"/>
      <c r="O108" s="56"/>
      <c r="P108" s="56"/>
      <c r="Q108" s="9">
        <v>52325.71</v>
      </c>
      <c r="R108" s="14">
        <f t="shared" si="58"/>
        <v>0.0013788975683305448</v>
      </c>
      <c r="S108" s="10">
        <v>5</v>
      </c>
      <c r="T108" s="14">
        <f t="shared" si="59"/>
        <v>0.0008887308922858159</v>
      </c>
      <c r="U108" s="56"/>
      <c r="V108" s="55"/>
      <c r="W108" s="56"/>
      <c r="X108" s="56"/>
      <c r="Y108" s="9">
        <v>76398.2</v>
      </c>
      <c r="Z108" s="14">
        <v>0.0016379348231464667</v>
      </c>
      <c r="AA108" s="10">
        <v>11</v>
      </c>
      <c r="AB108" s="14">
        <v>0.0015567506368525334</v>
      </c>
      <c r="AC108" s="56"/>
      <c r="AD108" s="55"/>
      <c r="AE108" s="56"/>
      <c r="AF108" s="9">
        <v>26341.87</v>
      </c>
      <c r="AG108" s="14">
        <v>0.0005258734840005974</v>
      </c>
      <c r="AH108" s="10">
        <v>4</v>
      </c>
      <c r="AI108" s="14">
        <v>0.0005044136191677175</v>
      </c>
      <c r="AJ108" s="56"/>
      <c r="AK108" s="55"/>
      <c r="AL108" s="56"/>
      <c r="AM108" s="9">
        <v>46765.85</v>
      </c>
      <c r="AN108" s="14">
        <f t="shared" si="60"/>
        <v>0.0008342270902255366</v>
      </c>
      <c r="AO108" s="10">
        <v>7</v>
      </c>
      <c r="AP108" s="14">
        <f t="shared" si="61"/>
        <v>0.0007746790615316512</v>
      </c>
      <c r="AQ108" s="56"/>
      <c r="AR108" s="55"/>
      <c r="AS108" s="56"/>
      <c r="AT108" s="9">
        <v>57761.09</v>
      </c>
      <c r="AU108" s="14">
        <f t="shared" si="62"/>
        <v>0.0008547279853570847</v>
      </c>
      <c r="AV108" s="10">
        <v>8</v>
      </c>
      <c r="AW108" s="14">
        <f t="shared" si="63"/>
        <v>0.0007233273056057866</v>
      </c>
      <c r="AX108" s="56"/>
      <c r="AY108" s="55"/>
      <c r="AZ108" s="56"/>
      <c r="BA108" s="9">
        <v>53064.12</v>
      </c>
      <c r="BB108" s="14">
        <f t="shared" si="64"/>
        <v>0.0007289449081045187</v>
      </c>
      <c r="BC108" s="10">
        <v>8</v>
      </c>
      <c r="BD108" s="14">
        <f t="shared" si="65"/>
        <v>0.0006580029610133246</v>
      </c>
      <c r="BE108" s="56"/>
      <c r="BF108" s="55"/>
      <c r="BG108" s="56"/>
      <c r="BH108" s="9">
        <v>76353.71</v>
      </c>
      <c r="BI108" s="14">
        <v>0.0011829312947411717</v>
      </c>
      <c r="BJ108" s="10">
        <v>14</v>
      </c>
      <c r="BK108" s="14">
        <v>0.0012633098718642843</v>
      </c>
      <c r="BL108" s="56"/>
      <c r="BM108" s="55"/>
      <c r="BN108" s="56"/>
      <c r="BO108" s="9">
        <v>47020.26</v>
      </c>
      <c r="BP108" s="14">
        <v>0.0008407913693322561</v>
      </c>
      <c r="BQ108" s="10">
        <v>9</v>
      </c>
      <c r="BR108" s="14">
        <v>0.0008828722778104767</v>
      </c>
      <c r="BS108" s="56"/>
      <c r="BT108" s="55"/>
      <c r="BU108" s="56"/>
      <c r="BV108" s="9">
        <v>74039.88</v>
      </c>
      <c r="BW108" s="14">
        <v>0.0013788386299053404</v>
      </c>
      <c r="BX108" s="10">
        <v>12</v>
      </c>
      <c r="BY108" s="14">
        <v>0.0011902400317397343</v>
      </c>
      <c r="BZ108" s="56"/>
      <c r="CA108" s="55"/>
      <c r="CB108" s="56"/>
      <c r="CC108" s="9">
        <v>104213.12</v>
      </c>
      <c r="CD108" s="14">
        <v>0.001966853156944493</v>
      </c>
      <c r="CE108" s="10">
        <v>13</v>
      </c>
      <c r="CF108" s="14">
        <v>0.0013157894736842105</v>
      </c>
      <c r="CG108" s="56"/>
      <c r="CH108" s="55"/>
      <c r="CI108" s="56"/>
      <c r="CJ108" s="9">
        <v>94833.97</v>
      </c>
      <c r="CK108" s="14">
        <v>0.001841788452406259</v>
      </c>
      <c r="CL108" s="10">
        <v>11</v>
      </c>
      <c r="CM108" s="14">
        <v>0.001168844968653703</v>
      </c>
      <c r="CN108" s="56"/>
      <c r="CO108" s="55"/>
      <c r="CP108" s="56"/>
      <c r="CQ108" s="9">
        <v>108734.32</v>
      </c>
      <c r="CR108" s="14">
        <v>0.0023821598931462614</v>
      </c>
      <c r="CS108" s="10">
        <v>16</v>
      </c>
      <c r="CT108" s="14">
        <v>0.0018896893823077833</v>
      </c>
      <c r="CU108" s="56"/>
      <c r="CV108" s="55"/>
      <c r="CW108" s="56"/>
      <c r="CX108" s="9">
        <v>78903.77</v>
      </c>
      <c r="CY108" s="14">
        <v>0.001101615991000133</v>
      </c>
      <c r="CZ108" s="10">
        <v>13</v>
      </c>
      <c r="DA108" s="14">
        <v>0.0009658964261832231</v>
      </c>
      <c r="DB108" s="56"/>
      <c r="DC108" s="55"/>
      <c r="DD108" s="56"/>
    </row>
    <row r="109" spans="1:108" ht="12.75">
      <c r="A109" s="8" t="s">
        <v>47</v>
      </c>
      <c r="B109" s="8"/>
      <c r="C109" s="43">
        <v>41131.8</v>
      </c>
      <c r="D109" s="33">
        <f t="shared" si="66"/>
        <v>0.001557459370030769</v>
      </c>
      <c r="E109" s="46">
        <v>2</v>
      </c>
      <c r="F109" s="33">
        <f t="shared" si="67"/>
        <v>0.000563221627710504</v>
      </c>
      <c r="G109" s="33"/>
      <c r="H109" s="33"/>
      <c r="I109" s="9">
        <v>0</v>
      </c>
      <c r="J109" s="14">
        <f t="shared" si="68"/>
        <v>0</v>
      </c>
      <c r="K109" s="10">
        <v>0</v>
      </c>
      <c r="L109" s="14">
        <f t="shared" si="69"/>
        <v>0</v>
      </c>
      <c r="M109" s="56"/>
      <c r="N109" s="55"/>
      <c r="O109" s="56"/>
      <c r="P109" s="56"/>
      <c r="Q109" s="9">
        <v>9530.02</v>
      </c>
      <c r="R109" s="14">
        <f t="shared" si="58"/>
        <v>0.000251136991818008</v>
      </c>
      <c r="S109" s="10">
        <v>1</v>
      </c>
      <c r="T109" s="14">
        <f t="shared" si="59"/>
        <v>0.00017774617845716317</v>
      </c>
      <c r="U109" s="56"/>
      <c r="V109" s="55"/>
      <c r="W109" s="56"/>
      <c r="X109" s="56"/>
      <c r="Y109" s="9">
        <v>62551.94</v>
      </c>
      <c r="Z109" s="14">
        <v>0.0013410787267418393</v>
      </c>
      <c r="AA109" s="10">
        <v>4</v>
      </c>
      <c r="AB109" s="14">
        <v>0.0005660911406736484</v>
      </c>
      <c r="AC109" s="56"/>
      <c r="AD109" s="55"/>
      <c r="AE109" s="56"/>
      <c r="AF109" s="9">
        <v>53728.7</v>
      </c>
      <c r="AG109" s="14">
        <v>0.0010726079302579088</v>
      </c>
      <c r="AH109" s="10">
        <v>6</v>
      </c>
      <c r="AI109" s="14">
        <v>0.0007566204287515763</v>
      </c>
      <c r="AJ109" s="56"/>
      <c r="AK109" s="55"/>
      <c r="AL109" s="56"/>
      <c r="AM109" s="9">
        <v>78254.74</v>
      </c>
      <c r="AN109" s="14">
        <f t="shared" si="60"/>
        <v>0.0013959379343378964</v>
      </c>
      <c r="AO109" s="10">
        <v>9</v>
      </c>
      <c r="AP109" s="14">
        <f t="shared" si="61"/>
        <v>0.00099601593625498</v>
      </c>
      <c r="AQ109" s="56"/>
      <c r="AR109" s="55"/>
      <c r="AS109" s="56"/>
      <c r="AT109" s="9">
        <v>106916.55</v>
      </c>
      <c r="AU109" s="14">
        <f t="shared" si="62"/>
        <v>0.0015821129307433434</v>
      </c>
      <c r="AV109" s="10">
        <v>9</v>
      </c>
      <c r="AW109" s="14">
        <f t="shared" si="63"/>
        <v>0.0008137432188065099</v>
      </c>
      <c r="AX109" s="56"/>
      <c r="AY109" s="55"/>
      <c r="AZ109" s="56"/>
      <c r="BA109" s="9">
        <v>54454.27</v>
      </c>
      <c r="BB109" s="14">
        <f t="shared" si="64"/>
        <v>0.000748041479648558</v>
      </c>
      <c r="BC109" s="10">
        <v>7</v>
      </c>
      <c r="BD109" s="14">
        <f t="shared" si="65"/>
        <v>0.000575752590886659</v>
      </c>
      <c r="BE109" s="56"/>
      <c r="BF109" s="55"/>
      <c r="BG109" s="56"/>
      <c r="BH109" s="9">
        <v>65539.27</v>
      </c>
      <c r="BI109" s="14">
        <v>0.0010153855460002038</v>
      </c>
      <c r="BJ109" s="10">
        <v>8</v>
      </c>
      <c r="BK109" s="14">
        <v>0.0007218913553510197</v>
      </c>
      <c r="BL109" s="56"/>
      <c r="BM109" s="55"/>
      <c r="BN109" s="56"/>
      <c r="BO109" s="9">
        <v>32809.63</v>
      </c>
      <c r="BP109" s="14">
        <v>0.0005866844150794716</v>
      </c>
      <c r="BQ109" s="10">
        <v>5</v>
      </c>
      <c r="BR109" s="14">
        <v>0.0004904845987835982</v>
      </c>
      <c r="BS109" s="56"/>
      <c r="BT109" s="55"/>
      <c r="BU109" s="56"/>
      <c r="BV109" s="9">
        <v>85984.04</v>
      </c>
      <c r="BW109" s="14">
        <v>0.0016012737447349452</v>
      </c>
      <c r="BX109" s="10">
        <v>8</v>
      </c>
      <c r="BY109" s="14">
        <v>0.0007934933544931561</v>
      </c>
      <c r="BZ109" s="56"/>
      <c r="CA109" s="55"/>
      <c r="CB109" s="56"/>
      <c r="CC109" s="9">
        <v>64440.3</v>
      </c>
      <c r="CD109" s="14">
        <v>0.0012162058624619451</v>
      </c>
      <c r="CE109" s="10">
        <v>10</v>
      </c>
      <c r="CF109" s="14">
        <v>0.0010121457489878543</v>
      </c>
      <c r="CG109" s="56"/>
      <c r="CH109" s="55"/>
      <c r="CI109" s="56"/>
      <c r="CJ109" s="9">
        <v>145549.95</v>
      </c>
      <c r="CK109" s="14">
        <v>0.002826753083924551</v>
      </c>
      <c r="CL109" s="10">
        <v>18</v>
      </c>
      <c r="CM109" s="14">
        <v>0.001912655403251514</v>
      </c>
      <c r="CN109" s="56"/>
      <c r="CO109" s="55"/>
      <c r="CP109" s="56"/>
      <c r="CQ109" s="9">
        <v>93979.24</v>
      </c>
      <c r="CR109" s="14">
        <v>0.00205890445920264</v>
      </c>
      <c r="CS109" s="10">
        <v>14</v>
      </c>
      <c r="CT109" s="14">
        <v>0.0016534782095193102</v>
      </c>
      <c r="CU109" s="56"/>
      <c r="CV109" s="55"/>
      <c r="CW109" s="56"/>
      <c r="CX109" s="9">
        <v>56239.02</v>
      </c>
      <c r="CY109" s="14">
        <v>0.0007851817948645078</v>
      </c>
      <c r="CZ109" s="10">
        <v>9</v>
      </c>
      <c r="DA109" s="14">
        <v>0.0006686975258191545</v>
      </c>
      <c r="DB109" s="56"/>
      <c r="DC109" s="55"/>
      <c r="DD109" s="56"/>
    </row>
    <row r="110" spans="1:108" ht="12.75">
      <c r="A110" s="8" t="s">
        <v>48</v>
      </c>
      <c r="B110" s="8"/>
      <c r="C110" s="43">
        <v>9854.99</v>
      </c>
      <c r="D110" s="33">
        <f t="shared" si="66"/>
        <v>0.00037316009795485553</v>
      </c>
      <c r="E110" s="46">
        <v>1</v>
      </c>
      <c r="F110" s="33">
        <f t="shared" si="67"/>
        <v>0.000281610813855252</v>
      </c>
      <c r="G110" s="33"/>
      <c r="H110" s="33"/>
      <c r="I110" s="9">
        <v>14709.51</v>
      </c>
      <c r="J110" s="14">
        <f t="shared" si="68"/>
        <v>0.0006045485024610153</v>
      </c>
      <c r="K110" s="10">
        <v>2</v>
      </c>
      <c r="L110" s="14">
        <f t="shared" si="69"/>
        <v>0.0005807200929152149</v>
      </c>
      <c r="M110" s="56"/>
      <c r="N110" s="55"/>
      <c r="O110" s="56"/>
      <c r="P110" s="56"/>
      <c r="Q110" s="9">
        <v>18108.9</v>
      </c>
      <c r="R110" s="14">
        <f t="shared" si="58"/>
        <v>0.00047720935225037566</v>
      </c>
      <c r="S110" s="10">
        <v>2</v>
      </c>
      <c r="T110" s="14">
        <f t="shared" si="59"/>
        <v>0.00035549235691432633</v>
      </c>
      <c r="U110" s="56"/>
      <c r="V110" s="55"/>
      <c r="W110" s="56"/>
      <c r="X110" s="56"/>
      <c r="Y110" s="9">
        <v>40170.74</v>
      </c>
      <c r="Z110" s="14">
        <v>0.0008612382741682747</v>
      </c>
      <c r="AA110" s="10">
        <v>6</v>
      </c>
      <c r="AB110" s="14">
        <v>0.0008491367110104727</v>
      </c>
      <c r="AC110" s="56"/>
      <c r="AD110" s="55"/>
      <c r="AE110" s="56"/>
      <c r="AF110" s="9">
        <v>29987.48</v>
      </c>
      <c r="AG110" s="14">
        <v>0.0005986522818614713</v>
      </c>
      <c r="AH110" s="10">
        <v>4</v>
      </c>
      <c r="AI110" s="14">
        <v>0.0005044136191677175</v>
      </c>
      <c r="AJ110" s="56"/>
      <c r="AK110" s="55"/>
      <c r="AL110" s="56"/>
      <c r="AM110" s="9">
        <v>51611.88</v>
      </c>
      <c r="AN110" s="14">
        <f t="shared" si="60"/>
        <v>0.000920672423862061</v>
      </c>
      <c r="AO110" s="10">
        <v>4</v>
      </c>
      <c r="AP110" s="14">
        <f t="shared" si="61"/>
        <v>0.0004426737494466578</v>
      </c>
      <c r="AQ110" s="56"/>
      <c r="AR110" s="55"/>
      <c r="AS110" s="56"/>
      <c r="AT110" s="9">
        <v>14080.84</v>
      </c>
      <c r="AU110" s="14">
        <f t="shared" si="62"/>
        <v>0.00020836324254503254</v>
      </c>
      <c r="AV110" s="10">
        <v>2</v>
      </c>
      <c r="AW110" s="14">
        <f t="shared" si="63"/>
        <v>0.00018083182640144665</v>
      </c>
      <c r="AX110" s="56"/>
      <c r="AY110" s="55"/>
      <c r="AZ110" s="56"/>
      <c r="BA110" s="9">
        <v>31128.87</v>
      </c>
      <c r="BB110" s="14">
        <f t="shared" si="64"/>
        <v>0.00042761910084530765</v>
      </c>
      <c r="BC110" s="10">
        <v>5</v>
      </c>
      <c r="BD110" s="14">
        <f t="shared" si="65"/>
        <v>0.00041125185063332784</v>
      </c>
      <c r="BE110" s="56"/>
      <c r="BF110" s="55"/>
      <c r="BG110" s="56"/>
      <c r="BH110" s="9">
        <v>45218.48</v>
      </c>
      <c r="BI110" s="14">
        <v>0.0007005600001968179</v>
      </c>
      <c r="BJ110" s="10">
        <v>7</v>
      </c>
      <c r="BK110" s="14">
        <v>0.0006316549359321422</v>
      </c>
      <c r="BL110" s="56"/>
      <c r="BM110" s="55"/>
      <c r="BN110" s="56"/>
      <c r="BO110" s="9">
        <v>22750.2</v>
      </c>
      <c r="BP110" s="14">
        <v>0.0004068070191569059</v>
      </c>
      <c r="BQ110" s="10">
        <v>4</v>
      </c>
      <c r="BR110" s="14">
        <v>0.00039238767902687857</v>
      </c>
      <c r="BS110" s="56"/>
      <c r="BT110" s="55"/>
      <c r="BU110" s="56"/>
      <c r="BV110" s="9">
        <v>27833.82</v>
      </c>
      <c r="BW110" s="14">
        <v>0.0005183469534773943</v>
      </c>
      <c r="BX110" s="10">
        <v>3</v>
      </c>
      <c r="BY110" s="14">
        <v>0.00029756000793493357</v>
      </c>
      <c r="BZ110" s="56"/>
      <c r="CA110" s="55"/>
      <c r="CB110" s="56"/>
      <c r="CC110" s="9">
        <v>44734.47</v>
      </c>
      <c r="CD110" s="14">
        <v>0.0008442903690412368</v>
      </c>
      <c r="CE110" s="10">
        <v>6</v>
      </c>
      <c r="CF110" s="14">
        <v>0.0006072874493927126</v>
      </c>
      <c r="CG110" s="56"/>
      <c r="CH110" s="55"/>
      <c r="CI110" s="56"/>
      <c r="CJ110" s="9">
        <v>46071.31</v>
      </c>
      <c r="CK110" s="14">
        <v>0.0008947596177322217</v>
      </c>
      <c r="CL110" s="10">
        <v>10</v>
      </c>
      <c r="CM110" s="14">
        <v>0.0010625863351397301</v>
      </c>
      <c r="CN110" s="56"/>
      <c r="CO110" s="55"/>
      <c r="CP110" s="56"/>
      <c r="CQ110" s="9">
        <v>49138.26</v>
      </c>
      <c r="CR110" s="14">
        <v>0.0010765248009183596</v>
      </c>
      <c r="CS110" s="10">
        <v>8</v>
      </c>
      <c r="CT110" s="14">
        <v>0.0009448446911538916</v>
      </c>
      <c r="CU110" s="56"/>
      <c r="CV110" s="55"/>
      <c r="CW110" s="56"/>
      <c r="CX110" s="9">
        <v>77540.24</v>
      </c>
      <c r="CY110" s="14">
        <v>0.0010825790495180162</v>
      </c>
      <c r="CZ110" s="10">
        <v>7</v>
      </c>
      <c r="DA110" s="14">
        <v>0.0005200980756371201</v>
      </c>
      <c r="DB110" s="56"/>
      <c r="DC110" s="55"/>
      <c r="DD110" s="56"/>
    </row>
    <row r="111" spans="1:108" ht="12.75">
      <c r="A111" s="8" t="s">
        <v>77</v>
      </c>
      <c r="B111" s="8"/>
      <c r="C111" s="43">
        <v>0</v>
      </c>
      <c r="D111" s="33">
        <f t="shared" si="66"/>
        <v>0</v>
      </c>
      <c r="E111" s="46">
        <v>0</v>
      </c>
      <c r="F111" s="33">
        <f t="shared" si="67"/>
        <v>0</v>
      </c>
      <c r="G111" s="33"/>
      <c r="H111" s="33"/>
      <c r="I111" s="9">
        <v>64880.26</v>
      </c>
      <c r="J111" s="14">
        <f t="shared" si="68"/>
        <v>0.0026665241753315583</v>
      </c>
      <c r="K111" s="10">
        <v>15</v>
      </c>
      <c r="L111" s="14">
        <f t="shared" si="69"/>
        <v>0.004355400696864111</v>
      </c>
      <c r="M111" s="56"/>
      <c r="N111" s="55"/>
      <c r="O111" s="56"/>
      <c r="P111" s="56"/>
      <c r="Q111" s="9">
        <v>14362.18</v>
      </c>
      <c r="R111" s="14">
        <f t="shared" si="58"/>
        <v>0.0003784750379483734</v>
      </c>
      <c r="S111" s="10">
        <v>1</v>
      </c>
      <c r="T111" s="14">
        <f t="shared" si="59"/>
        <v>0.00017774617845716317</v>
      </c>
      <c r="U111" s="56"/>
      <c r="V111" s="55"/>
      <c r="W111" s="56"/>
      <c r="X111" s="56"/>
      <c r="Y111" s="9">
        <v>44282.54</v>
      </c>
      <c r="Z111" s="14">
        <v>0.0009493929742242139</v>
      </c>
      <c r="AA111" s="10">
        <v>4</v>
      </c>
      <c r="AB111" s="14">
        <v>0.0005660911406736484</v>
      </c>
      <c r="AC111" s="56"/>
      <c r="AD111" s="55"/>
      <c r="AE111" s="56"/>
      <c r="AF111" s="9">
        <f>62492.44+22557.52+64332.9</f>
        <v>149382.86000000002</v>
      </c>
      <c r="AG111" s="14">
        <v>0.0030294135431401616</v>
      </c>
      <c r="AH111" s="10">
        <v>15</v>
      </c>
      <c r="AI111" s="14">
        <v>0.0021437578814627995</v>
      </c>
      <c r="AJ111" s="56"/>
      <c r="AK111" s="55"/>
      <c r="AL111" s="56"/>
      <c r="AM111" s="9">
        <v>34929.38</v>
      </c>
      <c r="AN111" s="14">
        <f t="shared" si="60"/>
        <v>0.0006230836185118425</v>
      </c>
      <c r="AO111" s="10">
        <v>6</v>
      </c>
      <c r="AP111" s="14">
        <f t="shared" si="61"/>
        <v>0.0006640106241699867</v>
      </c>
      <c r="AQ111" s="56"/>
      <c r="AR111" s="55"/>
      <c r="AS111" s="56"/>
      <c r="AT111" s="9">
        <v>105895.64</v>
      </c>
      <c r="AU111" s="14">
        <f t="shared" si="62"/>
        <v>0.0015670058690945604</v>
      </c>
      <c r="AV111" s="10">
        <v>11</v>
      </c>
      <c r="AW111" s="14">
        <f t="shared" si="63"/>
        <v>0.0009945750452079567</v>
      </c>
      <c r="AX111" s="56"/>
      <c r="AY111" s="55"/>
      <c r="AZ111" s="56"/>
      <c r="BA111" s="9">
        <f>9220.72+44999.85+14080.84</f>
        <v>68301.41</v>
      </c>
      <c r="BB111" s="14">
        <f t="shared" si="64"/>
        <v>0.0009382604486017869</v>
      </c>
      <c r="BC111" s="10">
        <f>2+5+2</f>
        <v>9</v>
      </c>
      <c r="BD111" s="14">
        <f t="shared" si="65"/>
        <v>0.0007402533311399902</v>
      </c>
      <c r="BE111" s="56"/>
      <c r="BF111" s="55"/>
      <c r="BG111" s="56"/>
      <c r="BH111" s="9">
        <v>64040.49</v>
      </c>
      <c r="BI111" s="14">
        <v>0.0009921652759447978</v>
      </c>
      <c r="BJ111" s="10">
        <v>9</v>
      </c>
      <c r="BK111" s="14">
        <v>0.0008121277747698972</v>
      </c>
      <c r="BL111" s="56"/>
      <c r="BM111" s="55"/>
      <c r="BN111" s="56"/>
      <c r="BO111" s="9">
        <v>100400.49</v>
      </c>
      <c r="BP111" s="14">
        <v>0.0017953083515218657</v>
      </c>
      <c r="BQ111" s="10">
        <v>17</v>
      </c>
      <c r="BR111" s="14">
        <v>0.0016676476358642338</v>
      </c>
      <c r="BS111" s="56"/>
      <c r="BT111" s="55"/>
      <c r="BU111" s="56"/>
      <c r="BV111" s="9">
        <v>35057.78</v>
      </c>
      <c r="BW111" s="14">
        <v>0.0006528781697474772</v>
      </c>
      <c r="BX111" s="10">
        <v>5</v>
      </c>
      <c r="BY111" s="14">
        <v>0.0004959333465582226</v>
      </c>
      <c r="BZ111" s="56"/>
      <c r="CA111" s="55"/>
      <c r="CB111" s="56"/>
      <c r="CC111" s="9">
        <v>77588.23</v>
      </c>
      <c r="CD111" s="14">
        <v>0.001464351658574615</v>
      </c>
      <c r="CE111" s="10">
        <v>9</v>
      </c>
      <c r="CF111" s="14">
        <v>0.0009109311740890688</v>
      </c>
      <c r="CG111" s="56"/>
      <c r="CH111" s="55"/>
      <c r="CI111" s="56"/>
      <c r="CJ111" s="9">
        <v>97315.41</v>
      </c>
      <c r="CK111" s="14">
        <v>0.0018899809675708035</v>
      </c>
      <c r="CL111" s="10">
        <v>15</v>
      </c>
      <c r="CM111" s="14">
        <v>0.0015938795027095952</v>
      </c>
      <c r="CN111" s="56"/>
      <c r="CO111" s="55"/>
      <c r="CP111" s="56"/>
      <c r="CQ111" s="9">
        <v>152335.39</v>
      </c>
      <c r="CR111" s="14">
        <v>0.003337375507243656</v>
      </c>
      <c r="CS111" s="10">
        <v>23</v>
      </c>
      <c r="CT111" s="14">
        <v>0.0027164284870674384</v>
      </c>
      <c r="CU111" s="56"/>
      <c r="CV111" s="55"/>
      <c r="CW111" s="56"/>
      <c r="CX111" s="9">
        <v>109051.52</v>
      </c>
      <c r="CY111" s="14">
        <v>0.0015225241870555843</v>
      </c>
      <c r="CZ111" s="10">
        <v>21</v>
      </c>
      <c r="DA111" s="14">
        <v>0.0015602942269113604</v>
      </c>
      <c r="DB111" s="56"/>
      <c r="DC111" s="55"/>
      <c r="DD111" s="56"/>
    </row>
    <row r="112" spans="1:108" ht="12.75">
      <c r="A112" s="8" t="s">
        <v>78</v>
      </c>
      <c r="B112" s="8"/>
      <c r="C112" s="43">
        <v>0</v>
      </c>
      <c r="D112" s="33">
        <f t="shared" si="66"/>
        <v>0</v>
      </c>
      <c r="E112" s="46">
        <v>0</v>
      </c>
      <c r="F112" s="33">
        <f t="shared" si="67"/>
        <v>0</v>
      </c>
      <c r="G112" s="33"/>
      <c r="H112" s="33"/>
      <c r="I112" s="9">
        <v>0</v>
      </c>
      <c r="J112" s="14">
        <f t="shared" si="68"/>
        <v>0</v>
      </c>
      <c r="K112" s="10">
        <v>0</v>
      </c>
      <c r="L112" s="14">
        <f t="shared" si="69"/>
        <v>0</v>
      </c>
      <c r="M112" s="56"/>
      <c r="N112" s="55"/>
      <c r="O112" s="56"/>
      <c r="P112" s="56"/>
      <c r="Q112" s="9">
        <v>104771.25</v>
      </c>
      <c r="R112" s="14">
        <f t="shared" si="58"/>
        <v>0.002760952920771674</v>
      </c>
      <c r="S112" s="10">
        <v>34</v>
      </c>
      <c r="T112" s="14">
        <f t="shared" si="59"/>
        <v>0.006043370067543548</v>
      </c>
      <c r="U112" s="56"/>
      <c r="V112" s="55"/>
      <c r="W112" s="56"/>
      <c r="X112" s="56"/>
      <c r="Y112" s="9">
        <f>27289.66+61348.44</f>
        <v>88638.1</v>
      </c>
      <c r="Z112" s="14">
        <v>0.0005850750989660385</v>
      </c>
      <c r="AA112" s="10">
        <v>82</v>
      </c>
      <c r="AB112" s="14">
        <v>0.0002830455703368242</v>
      </c>
      <c r="AC112" s="56"/>
      <c r="AD112" s="55"/>
      <c r="AE112" s="56"/>
      <c r="AF112" s="9">
        <f>25753.37+9530.02+87329.53</f>
        <v>122612.92</v>
      </c>
      <c r="AG112" s="14">
        <v>0.0008239167763681188</v>
      </c>
      <c r="AH112" s="10">
        <v>136</v>
      </c>
      <c r="AI112" s="14">
        <v>0.0007566204287515763</v>
      </c>
      <c r="AJ112" s="56"/>
      <c r="AK112" s="55"/>
      <c r="AL112" s="56"/>
      <c r="AM112" s="9">
        <f>43105.72+98666.3</f>
        <v>141772.02000000002</v>
      </c>
      <c r="AN112" s="14">
        <f t="shared" si="60"/>
        <v>0.002528983429575141</v>
      </c>
      <c r="AO112" s="10">
        <f>7+190</f>
        <v>197</v>
      </c>
      <c r="AP112" s="14">
        <f t="shared" si="61"/>
        <v>0.021801682160247898</v>
      </c>
      <c r="AQ112" s="56"/>
      <c r="AR112" s="55"/>
      <c r="AS112" s="56"/>
      <c r="AT112" s="9">
        <f>18734.37+89655.8</f>
        <v>108390.17</v>
      </c>
      <c r="AU112" s="14">
        <f t="shared" si="62"/>
        <v>0.0016039190333252355</v>
      </c>
      <c r="AV112" s="10">
        <f>4+250</f>
        <v>254</v>
      </c>
      <c r="AW112" s="14">
        <f t="shared" si="63"/>
        <v>0.022965641952983725</v>
      </c>
      <c r="AX112" s="56"/>
      <c r="AY112" s="55"/>
      <c r="AZ112" s="56"/>
      <c r="BA112" s="9">
        <f>10360.02+21344.61+29964.15+83104.16</f>
        <v>144772.94</v>
      </c>
      <c r="BB112" s="14">
        <f t="shared" si="64"/>
        <v>0.0019887543116576885</v>
      </c>
      <c r="BC112" s="10">
        <f>1+4+2+330</f>
        <v>337</v>
      </c>
      <c r="BD112" s="14">
        <f t="shared" si="65"/>
        <v>0.027718374732686298</v>
      </c>
      <c r="BE112" s="56"/>
      <c r="BF112" s="55"/>
      <c r="BG112" s="56"/>
      <c r="BH112" s="9">
        <v>60525.76</v>
      </c>
      <c r="BI112" s="14">
        <v>0.0009377123343710923</v>
      </c>
      <c r="BJ112" s="10">
        <v>7</v>
      </c>
      <c r="BK112" s="14">
        <v>0.0006316549359321422</v>
      </c>
      <c r="BL112" s="56"/>
      <c r="BM112" s="55"/>
      <c r="BN112" s="56"/>
      <c r="BO112" s="9">
        <v>37068.06</v>
      </c>
      <c r="BP112" s="14">
        <v>0.000662831403439501</v>
      </c>
      <c r="BQ112" s="10">
        <v>3</v>
      </c>
      <c r="BR112" s="14">
        <v>0.0002942907592701589</v>
      </c>
      <c r="BS112" s="56"/>
      <c r="BT112" s="55"/>
      <c r="BU112" s="56"/>
      <c r="BV112" s="9">
        <v>95134.28</v>
      </c>
      <c r="BW112" s="14">
        <v>0.001771677915904659</v>
      </c>
      <c r="BX112" s="10">
        <v>16</v>
      </c>
      <c r="BY112" s="14">
        <v>0.0015869867089863122</v>
      </c>
      <c r="BZ112" s="56"/>
      <c r="CA112" s="55"/>
      <c r="CB112" s="56"/>
      <c r="CC112" s="9">
        <v>29488.4</v>
      </c>
      <c r="CD112" s="14">
        <v>0.0005565455926589856</v>
      </c>
      <c r="CE112" s="10">
        <v>4</v>
      </c>
      <c r="CF112" s="14">
        <v>0.0004048582995951417</v>
      </c>
      <c r="CG112" s="56"/>
      <c r="CH112" s="55"/>
      <c r="CI112" s="56"/>
      <c r="CJ112" s="9">
        <v>33492.44</v>
      </c>
      <c r="CK112" s="14">
        <v>0.0006504630063985455</v>
      </c>
      <c r="CL112" s="10">
        <v>5</v>
      </c>
      <c r="CM112" s="14">
        <v>0.0005312931675698651</v>
      </c>
      <c r="CN112" s="56"/>
      <c r="CO112" s="55"/>
      <c r="CP112" s="56"/>
      <c r="CQ112" s="9">
        <v>68824.21</v>
      </c>
      <c r="CR112" s="14">
        <v>0.0015078061162241676</v>
      </c>
      <c r="CS112" s="10">
        <v>12</v>
      </c>
      <c r="CT112" s="14">
        <v>0.0014172670367308374</v>
      </c>
      <c r="CU112" s="56"/>
      <c r="CV112" s="55"/>
      <c r="CW112" s="56"/>
      <c r="CX112" s="9">
        <v>90937.04</v>
      </c>
      <c r="CY112" s="14">
        <v>0.0012696186435479412</v>
      </c>
      <c r="CZ112" s="10">
        <v>14</v>
      </c>
      <c r="DA112" s="14">
        <v>0.0010401961512742403</v>
      </c>
      <c r="DB112" s="56"/>
      <c r="DC112" s="55"/>
      <c r="DD112" s="56"/>
    </row>
    <row r="113" spans="1:108" ht="12.75">
      <c r="A113" s="8" t="s">
        <v>49</v>
      </c>
      <c r="B113" s="8"/>
      <c r="C113" s="43">
        <v>0</v>
      </c>
      <c r="D113" s="33">
        <f t="shared" si="66"/>
        <v>0</v>
      </c>
      <c r="E113" s="46">
        <v>0</v>
      </c>
      <c r="F113" s="33">
        <f t="shared" si="67"/>
        <v>0</v>
      </c>
      <c r="G113" s="33"/>
      <c r="H113" s="33"/>
      <c r="I113" s="9">
        <v>0</v>
      </c>
      <c r="J113" s="14">
        <f t="shared" si="68"/>
        <v>0</v>
      </c>
      <c r="K113" s="10">
        <v>0</v>
      </c>
      <c r="L113" s="14">
        <f t="shared" si="69"/>
        <v>0</v>
      </c>
      <c r="M113" s="56"/>
      <c r="N113" s="55"/>
      <c r="O113" s="56"/>
      <c r="P113" s="56"/>
      <c r="Q113" s="9">
        <v>0</v>
      </c>
      <c r="R113" s="14">
        <f t="shared" si="58"/>
        <v>0</v>
      </c>
      <c r="S113" s="10">
        <v>0</v>
      </c>
      <c r="T113" s="14">
        <f t="shared" si="59"/>
        <v>0</v>
      </c>
      <c r="U113" s="56"/>
      <c r="V113" s="55"/>
      <c r="W113" s="56"/>
      <c r="X113" s="56"/>
      <c r="Y113" s="9">
        <v>36564.38</v>
      </c>
      <c r="Z113" s="14">
        <v>0.0007839199259767926</v>
      </c>
      <c r="AA113" s="10">
        <v>4</v>
      </c>
      <c r="AB113" s="14">
        <v>0.0005660911406736484</v>
      </c>
      <c r="AC113" s="56"/>
      <c r="AD113" s="55"/>
      <c r="AE113" s="56"/>
      <c r="AF113" s="9">
        <v>36564.38</v>
      </c>
      <c r="AG113" s="14">
        <v>0.0021656414208558843</v>
      </c>
      <c r="AH113" s="10">
        <v>4</v>
      </c>
      <c r="AI113" s="14">
        <v>0.0021437578814627995</v>
      </c>
      <c r="AJ113" s="56"/>
      <c r="AK113" s="55"/>
      <c r="AL113" s="56"/>
      <c r="AM113" s="9">
        <v>39062.73</v>
      </c>
      <c r="AN113" s="14">
        <f t="shared" si="60"/>
        <v>0.0006968158941656311</v>
      </c>
      <c r="AO113" s="10">
        <v>5</v>
      </c>
      <c r="AP113" s="14">
        <f t="shared" si="61"/>
        <v>0.0005533421868083222</v>
      </c>
      <c r="AQ113" s="56"/>
      <c r="AR113" s="55"/>
      <c r="AS113" s="56"/>
      <c r="AT113" s="9">
        <v>45246.75</v>
      </c>
      <c r="AU113" s="14">
        <f t="shared" si="62"/>
        <v>0.0006695452504697483</v>
      </c>
      <c r="AV113" s="10">
        <v>6</v>
      </c>
      <c r="AW113" s="14">
        <f t="shared" si="63"/>
        <v>0.00054249547920434</v>
      </c>
      <c r="AX113" s="56"/>
      <c r="AY113" s="55"/>
      <c r="AZ113" s="56"/>
      <c r="BA113" s="9">
        <v>50208.62</v>
      </c>
      <c r="BB113" s="14">
        <f t="shared" si="64"/>
        <v>0.0006897187382350767</v>
      </c>
      <c r="BC113" s="10">
        <v>8</v>
      </c>
      <c r="BD113" s="14">
        <f t="shared" si="65"/>
        <v>0.0006580029610133246</v>
      </c>
      <c r="BE113" s="56"/>
      <c r="BF113" s="55"/>
      <c r="BG113" s="56"/>
      <c r="BH113" s="9">
        <v>85452.39</v>
      </c>
      <c r="BI113" s="14">
        <v>0.0013238951498418029</v>
      </c>
      <c r="BJ113" s="10">
        <v>12</v>
      </c>
      <c r="BK113" s="14">
        <v>0.0010828370330265296</v>
      </c>
      <c r="BL113" s="56"/>
      <c r="BM113" s="55"/>
      <c r="BN113" s="56"/>
      <c r="BO113" s="9">
        <v>127044.25</v>
      </c>
      <c r="BP113" s="14">
        <v>0.0022717379470740804</v>
      </c>
      <c r="BQ113" s="10">
        <v>17</v>
      </c>
      <c r="BR113" s="14">
        <v>0.0016676476358642338</v>
      </c>
      <c r="BS113" s="56"/>
      <c r="BT113" s="55"/>
      <c r="BU113" s="56"/>
      <c r="BV113" s="9">
        <v>152433.75</v>
      </c>
      <c r="BW113" s="14">
        <v>0.0028387612594906043</v>
      </c>
      <c r="BX113" s="10">
        <v>17</v>
      </c>
      <c r="BY113" s="14">
        <v>0.0016861733782979568</v>
      </c>
      <c r="BZ113" s="56"/>
      <c r="CA113" s="55"/>
      <c r="CB113" s="56"/>
      <c r="CC113" s="9">
        <v>224958.3</v>
      </c>
      <c r="CD113" s="14">
        <v>0.00424572206010017</v>
      </c>
      <c r="CE113" s="10">
        <v>27</v>
      </c>
      <c r="CF113" s="14">
        <v>0.002834008097165992</v>
      </c>
      <c r="CG113" s="56"/>
      <c r="CH113" s="55"/>
      <c r="CI113" s="56"/>
      <c r="CJ113" s="9">
        <v>219224.72</v>
      </c>
      <c r="CK113" s="14">
        <v>0.004257604714618563</v>
      </c>
      <c r="CL113" s="10">
        <v>27</v>
      </c>
      <c r="CM113" s="14">
        <v>0.0028689831048772712</v>
      </c>
      <c r="CN113" s="56"/>
      <c r="CO113" s="55"/>
      <c r="CP113" s="56"/>
      <c r="CQ113" s="9">
        <v>220201.18</v>
      </c>
      <c r="CR113" s="14">
        <v>0.004824184483974154</v>
      </c>
      <c r="CS113" s="10">
        <v>26</v>
      </c>
      <c r="CT113" s="14">
        <v>0.0030707452462501476</v>
      </c>
      <c r="CU113" s="56"/>
      <c r="CV113" s="55"/>
      <c r="CW113" s="56"/>
      <c r="CX113" s="9">
        <v>250367.41</v>
      </c>
      <c r="CY113" s="14">
        <v>0.0034955077872868006</v>
      </c>
      <c r="CZ113" s="10">
        <v>32</v>
      </c>
      <c r="DA113" s="14">
        <v>0.0023775912029125493</v>
      </c>
      <c r="DB113" s="56"/>
      <c r="DC113" s="55"/>
      <c r="DD113" s="56"/>
    </row>
    <row r="114" spans="1:108" ht="12.75">
      <c r="A114" s="8"/>
      <c r="B114" s="8"/>
      <c r="C114" s="43"/>
      <c r="D114" s="33"/>
      <c r="E114" s="46"/>
      <c r="F114" s="33"/>
      <c r="G114" s="33"/>
      <c r="H114" s="33"/>
      <c r="I114" s="9"/>
      <c r="J114" s="8"/>
      <c r="K114" s="10"/>
      <c r="L114" s="8"/>
      <c r="M114" s="54"/>
      <c r="N114" s="55"/>
      <c r="O114" s="54"/>
      <c r="P114" s="54"/>
      <c r="Q114" s="9"/>
      <c r="R114" s="8"/>
      <c r="S114" s="10"/>
      <c r="T114" s="8"/>
      <c r="U114" s="54"/>
      <c r="V114" s="55"/>
      <c r="W114" s="54"/>
      <c r="X114" s="54"/>
      <c r="Y114" s="9"/>
      <c r="Z114" s="8"/>
      <c r="AA114" s="10"/>
      <c r="AB114" s="8"/>
      <c r="AC114" s="54"/>
      <c r="AD114" s="55"/>
      <c r="AE114" s="54"/>
      <c r="AF114" s="9"/>
      <c r="AG114" s="8"/>
      <c r="AH114" s="10"/>
      <c r="AI114" s="8"/>
      <c r="AJ114" s="54"/>
      <c r="AK114" s="55"/>
      <c r="AL114" s="54"/>
      <c r="AM114" s="9"/>
      <c r="AN114" s="8"/>
      <c r="AO114" s="10"/>
      <c r="AP114" s="8"/>
      <c r="AQ114" s="54"/>
      <c r="AR114" s="55"/>
      <c r="AS114" s="54"/>
      <c r="AT114" s="9"/>
      <c r="AU114" s="8"/>
      <c r="AV114" s="10"/>
      <c r="AW114" s="8"/>
      <c r="AX114" s="54"/>
      <c r="AY114" s="55"/>
      <c r="AZ114" s="54"/>
      <c r="BA114" s="9"/>
      <c r="BB114" s="8"/>
      <c r="BC114" s="10"/>
      <c r="BD114" s="8"/>
      <c r="BE114" s="54"/>
      <c r="BF114" s="55"/>
      <c r="BG114" s="54"/>
      <c r="BH114" s="9"/>
      <c r="BI114" s="8"/>
      <c r="BJ114" s="10"/>
      <c r="BK114" s="8"/>
      <c r="BL114" s="54"/>
      <c r="BM114" s="55"/>
      <c r="BN114" s="54"/>
      <c r="BO114" s="9"/>
      <c r="BP114" s="8"/>
      <c r="BQ114" s="10"/>
      <c r="BR114" s="8"/>
      <c r="BS114" s="54"/>
      <c r="BT114" s="55"/>
      <c r="BU114" s="54"/>
      <c r="BV114" s="9"/>
      <c r="BW114" s="8"/>
      <c r="BX114" s="10"/>
      <c r="BY114" s="8"/>
      <c r="BZ114" s="54"/>
      <c r="CA114" s="55"/>
      <c r="CB114" s="54"/>
      <c r="CC114" s="9"/>
      <c r="CD114" s="8"/>
      <c r="CE114" s="10"/>
      <c r="CF114" s="8"/>
      <c r="CG114" s="54"/>
      <c r="CH114" s="55"/>
      <c r="CI114" s="54"/>
      <c r="CJ114" s="9"/>
      <c r="CK114" s="8"/>
      <c r="CL114" s="10"/>
      <c r="CM114" s="8"/>
      <c r="CN114" s="54"/>
      <c r="CO114" s="55"/>
      <c r="CP114" s="54"/>
      <c r="CQ114" s="9"/>
      <c r="CR114" s="8"/>
      <c r="CS114" s="10"/>
      <c r="CT114" s="8"/>
      <c r="CU114" s="54"/>
      <c r="CV114" s="55"/>
      <c r="CW114" s="54"/>
      <c r="CX114" s="9"/>
      <c r="CY114" s="8"/>
      <c r="CZ114" s="10"/>
      <c r="DA114" s="8"/>
      <c r="DB114" s="54"/>
      <c r="DC114" s="55"/>
      <c r="DD114" s="54"/>
    </row>
    <row r="115" spans="1:108" ht="13.5" thickBot="1">
      <c r="A115" s="8"/>
      <c r="B115" s="8"/>
      <c r="C115" s="78">
        <f>SUM(C105:C113)</f>
        <v>26409549.29000004</v>
      </c>
      <c r="D115" s="33"/>
      <c r="E115" s="79">
        <f>SUM(E105:E113)</f>
        <v>3551</v>
      </c>
      <c r="F115" s="33"/>
      <c r="G115" s="33"/>
      <c r="H115" s="33"/>
      <c r="I115" s="21">
        <f>SUM(I105:I113)</f>
        <v>24331397.630000006</v>
      </c>
      <c r="J115" s="12"/>
      <c r="K115" s="22">
        <f>SUM(K105:K113)</f>
        <v>3444</v>
      </c>
      <c r="L115" s="23"/>
      <c r="M115" s="53"/>
      <c r="N115" s="31"/>
      <c r="O115" s="57"/>
      <c r="P115" s="57"/>
      <c r="Q115" s="21">
        <f>SUM(Q105:Q114)</f>
        <v>37947496.03</v>
      </c>
      <c r="R115" s="12"/>
      <c r="S115" s="22">
        <f>SUM(S105:S114)</f>
        <v>5626</v>
      </c>
      <c r="T115" s="23"/>
      <c r="U115" s="53"/>
      <c r="V115" s="31"/>
      <c r="W115" s="57"/>
      <c r="X115" s="57"/>
      <c r="Y115" s="21">
        <f>SUM(Y105:Y114)</f>
        <v>46643003.69000001</v>
      </c>
      <c r="Z115" s="12"/>
      <c r="AA115" s="22">
        <f>SUM(AA105:AA114)</f>
        <v>7066</v>
      </c>
      <c r="AB115" s="23"/>
      <c r="AC115" s="53"/>
      <c r="AD115" s="31"/>
      <c r="AE115" s="57"/>
      <c r="AF115" s="21">
        <f>SUM(AF105:AF114)</f>
        <v>50091649.04</v>
      </c>
      <c r="AG115" s="12"/>
      <c r="AH115" s="22">
        <f>SUM(AH105:AH114)</f>
        <v>7930</v>
      </c>
      <c r="AI115" s="23"/>
      <c r="AJ115" s="53"/>
      <c r="AK115" s="31"/>
      <c r="AL115" s="57"/>
      <c r="AM115" s="21">
        <f>SUM(AM105:AM114)</f>
        <v>56058896.370000005</v>
      </c>
      <c r="AN115" s="12"/>
      <c r="AO115" s="22">
        <f>SUM(AO105:AO114)</f>
        <v>9036</v>
      </c>
      <c r="AP115" s="23"/>
      <c r="AQ115" s="53"/>
      <c r="AR115" s="31"/>
      <c r="AS115" s="57"/>
      <c r="AT115" s="21">
        <f>SUM(AT105:AT114)</f>
        <v>67578330.17</v>
      </c>
      <c r="AU115" s="12"/>
      <c r="AV115" s="22">
        <f>SUM(AV105:AV114)</f>
        <v>11060</v>
      </c>
      <c r="AW115" s="23"/>
      <c r="AX115" s="53"/>
      <c r="AY115" s="31"/>
      <c r="AZ115" s="57"/>
      <c r="BA115" s="21">
        <f>SUM(BA105:BA114)</f>
        <v>72795789.38000001</v>
      </c>
      <c r="BB115" s="12"/>
      <c r="BC115" s="22">
        <f>SUM(BC105:BC114)</f>
        <v>12158</v>
      </c>
      <c r="BD115" s="23"/>
      <c r="BE115" s="53"/>
      <c r="BF115" s="31"/>
      <c r="BG115" s="57"/>
      <c r="BH115" s="21">
        <f>SUM(BH105:BH114)</f>
        <v>64546191.60000022</v>
      </c>
      <c r="BI115" s="12"/>
      <c r="BJ115" s="22">
        <f>SUM(BJ105:BJ114)</f>
        <v>11082</v>
      </c>
      <c r="BK115" s="23"/>
      <c r="BL115" s="53"/>
      <c r="BM115" s="31"/>
      <c r="BN115" s="57"/>
      <c r="BO115" s="21">
        <f>SUM(BO105:BO114)</f>
        <v>55923813.82000005</v>
      </c>
      <c r="BP115" s="12"/>
      <c r="BQ115" s="22">
        <f>SUM(BQ105:BQ114)</f>
        <v>10194</v>
      </c>
      <c r="BR115" s="23"/>
      <c r="BS115" s="53"/>
      <c r="BT115" s="31"/>
      <c r="BU115" s="57"/>
      <c r="BV115" s="21">
        <f>SUM(BV105:BV114)</f>
        <v>53697277.11000015</v>
      </c>
      <c r="BW115" s="12"/>
      <c r="BX115" s="22">
        <f>SUM(BX105:BX114)</f>
        <v>10082</v>
      </c>
      <c r="BY115" s="23"/>
      <c r="BZ115" s="53"/>
      <c r="CA115" s="31"/>
      <c r="CB115" s="57"/>
      <c r="CC115" s="21">
        <f>SUM(CC105:CC114)</f>
        <v>52984697.7299999</v>
      </c>
      <c r="CD115" s="12"/>
      <c r="CE115" s="22">
        <f>SUM(CE105:CE114)</f>
        <v>9879</v>
      </c>
      <c r="CF115" s="23"/>
      <c r="CG115" s="53"/>
      <c r="CH115" s="31"/>
      <c r="CI115" s="57"/>
      <c r="CJ115" s="21">
        <f>SUM(CJ105:CJ114)</f>
        <v>51490153.429999724</v>
      </c>
      <c r="CK115" s="12"/>
      <c r="CL115" s="22">
        <f>SUM(CL105:CL114)</f>
        <v>9411</v>
      </c>
      <c r="CM115" s="23"/>
      <c r="CN115" s="53"/>
      <c r="CO115" s="31"/>
      <c r="CP115" s="57"/>
      <c r="CQ115" s="21">
        <f>SUM(CQ105:CQ114)</f>
        <v>45645265.17000002</v>
      </c>
      <c r="CR115" s="12"/>
      <c r="CS115" s="22">
        <f>SUM(CS105:CS114)</f>
        <v>8467</v>
      </c>
      <c r="CT115" s="23"/>
      <c r="CU115" s="53"/>
      <c r="CV115" s="31"/>
      <c r="CW115" s="57"/>
      <c r="CX115" s="21">
        <f>SUM(CX105:CX114)</f>
        <v>71625476.24999978</v>
      </c>
      <c r="CY115" s="12"/>
      <c r="CZ115" s="22">
        <f>SUM(CZ105:CZ114)</f>
        <v>13459</v>
      </c>
      <c r="DA115" s="23"/>
      <c r="DB115" s="53"/>
      <c r="DC115" s="31"/>
      <c r="DD115" s="57"/>
    </row>
    <row r="116" spans="1:108" ht="13.5" thickTop="1">
      <c r="A116" s="8"/>
      <c r="B116" s="8"/>
      <c r="C116" s="8"/>
      <c r="D116" s="8"/>
      <c r="E116" s="8"/>
      <c r="F116" s="8"/>
      <c r="G116" s="8"/>
      <c r="H116" s="8"/>
      <c r="I116" s="12"/>
      <c r="J116" s="8"/>
      <c r="K116" s="8"/>
      <c r="L116" s="9"/>
      <c r="M116" s="54"/>
      <c r="N116" s="55"/>
      <c r="O116" s="54"/>
      <c r="P116" s="54"/>
      <c r="Q116" s="12"/>
      <c r="R116" s="8"/>
      <c r="S116" s="8"/>
      <c r="T116" s="9"/>
      <c r="U116" s="54"/>
      <c r="V116" s="55"/>
      <c r="W116" s="54"/>
      <c r="X116" s="54"/>
      <c r="Y116" s="12"/>
      <c r="Z116" s="8"/>
      <c r="AA116" s="8"/>
      <c r="AB116" s="9"/>
      <c r="AC116" s="54"/>
      <c r="AD116" s="55"/>
      <c r="AE116" s="54"/>
      <c r="AF116" s="12"/>
      <c r="AG116" s="8"/>
      <c r="AH116" s="8"/>
      <c r="AI116" s="9"/>
      <c r="AJ116" s="54"/>
      <c r="AK116" s="55"/>
      <c r="AL116" s="54"/>
      <c r="AM116" s="12"/>
      <c r="AN116" s="8"/>
      <c r="AO116" s="8"/>
      <c r="AP116" s="9"/>
      <c r="AQ116" s="54"/>
      <c r="AR116" s="55"/>
      <c r="AS116" s="54"/>
      <c r="AT116" s="12"/>
      <c r="AU116" s="8"/>
      <c r="AV116" s="8"/>
      <c r="AW116" s="9"/>
      <c r="AX116" s="54"/>
      <c r="AY116" s="55"/>
      <c r="AZ116" s="54"/>
      <c r="BA116" s="12"/>
      <c r="BB116" s="8"/>
      <c r="BC116" s="8"/>
      <c r="BD116" s="9"/>
      <c r="BE116" s="54"/>
      <c r="BF116" s="55"/>
      <c r="BG116" s="54"/>
      <c r="BH116" s="12"/>
      <c r="BI116" s="8"/>
      <c r="BJ116" s="8"/>
      <c r="BK116" s="9"/>
      <c r="BL116" s="54"/>
      <c r="BM116" s="55"/>
      <c r="BN116" s="54"/>
      <c r="BO116" s="12"/>
      <c r="BP116" s="8"/>
      <c r="BQ116" s="8"/>
      <c r="BR116" s="9"/>
      <c r="BS116" s="54"/>
      <c r="BT116" s="55"/>
      <c r="BU116" s="54"/>
      <c r="BV116" s="12"/>
      <c r="BW116" s="8"/>
      <c r="BX116" s="8"/>
      <c r="BY116" s="9"/>
      <c r="BZ116" s="54"/>
      <c r="CA116" s="55"/>
      <c r="CB116" s="54"/>
      <c r="CC116" s="12"/>
      <c r="CD116" s="8"/>
      <c r="CE116" s="8"/>
      <c r="CF116" s="9"/>
      <c r="CG116" s="54"/>
      <c r="CH116" s="55"/>
      <c r="CI116" s="54"/>
      <c r="CJ116" s="12"/>
      <c r="CK116" s="8"/>
      <c r="CL116" s="8"/>
      <c r="CM116" s="9"/>
      <c r="CN116" s="54"/>
      <c r="CO116" s="55"/>
      <c r="CP116" s="54"/>
      <c r="CQ116" s="12"/>
      <c r="CR116" s="8"/>
      <c r="CS116" s="8"/>
      <c r="CT116" s="9"/>
      <c r="CU116" s="54"/>
      <c r="CV116" s="55"/>
      <c r="CW116" s="54"/>
      <c r="CX116" s="12"/>
      <c r="CY116" s="8"/>
      <c r="CZ116" s="8"/>
      <c r="DA116" s="9"/>
      <c r="DB116" s="54"/>
      <c r="DC116" s="55"/>
      <c r="DD116" s="54"/>
    </row>
    <row r="117" spans="1:108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8"/>
      <c r="N117" s="10"/>
      <c r="O117" s="8"/>
      <c r="P117" s="8"/>
      <c r="Q117" s="8"/>
      <c r="R117" s="8"/>
      <c r="S117" s="8"/>
      <c r="T117" s="9"/>
      <c r="U117" s="8"/>
      <c r="V117" s="10"/>
      <c r="W117" s="8"/>
      <c r="X117" s="8"/>
      <c r="Y117" s="8"/>
      <c r="Z117" s="8"/>
      <c r="AA117" s="8"/>
      <c r="AB117" s="9"/>
      <c r="AC117" s="8"/>
      <c r="AD117" s="10"/>
      <c r="AE117" s="8"/>
      <c r="AF117" s="8"/>
      <c r="AG117" s="8"/>
      <c r="AH117" s="8"/>
      <c r="AI117" s="9"/>
      <c r="AJ117" s="8"/>
      <c r="AK117" s="10"/>
      <c r="AL117" s="8"/>
      <c r="AM117" s="8"/>
      <c r="AN117" s="8"/>
      <c r="AO117" s="8"/>
      <c r="AP117" s="9"/>
      <c r="AQ117" s="8"/>
      <c r="AR117" s="10"/>
      <c r="AS117" s="8"/>
      <c r="AT117" s="8"/>
      <c r="AU117" s="8"/>
      <c r="AV117" s="8"/>
      <c r="AW117" s="9"/>
      <c r="AX117" s="8"/>
      <c r="AY117" s="10"/>
      <c r="AZ117" s="8"/>
      <c r="BA117" s="8"/>
      <c r="BB117" s="8"/>
      <c r="BC117" s="8"/>
      <c r="BD117" s="9"/>
      <c r="BE117" s="8"/>
      <c r="BF117" s="10"/>
      <c r="BG117" s="8"/>
      <c r="BH117" s="8"/>
      <c r="BI117" s="8"/>
      <c r="BJ117" s="8"/>
      <c r="BK117" s="9"/>
      <c r="BL117" s="8"/>
      <c r="BM117" s="10"/>
      <c r="BN117" s="8"/>
      <c r="BO117" s="8"/>
      <c r="BP117" s="8"/>
      <c r="BQ117" s="8"/>
      <c r="BR117" s="9"/>
      <c r="BS117" s="8"/>
      <c r="BT117" s="10"/>
      <c r="BU117" s="8"/>
      <c r="BV117" s="8"/>
      <c r="BW117" s="8"/>
      <c r="BX117" s="8"/>
      <c r="BY117" s="9"/>
      <c r="BZ117" s="8"/>
      <c r="CA117" s="10"/>
      <c r="CB117" s="8"/>
      <c r="CC117" s="8"/>
      <c r="CD117" s="8"/>
      <c r="CE117" s="8"/>
      <c r="CF117" s="9"/>
      <c r="CG117" s="8"/>
      <c r="CH117" s="10"/>
      <c r="CI117" s="8"/>
      <c r="CJ117" s="8"/>
      <c r="CK117" s="8"/>
      <c r="CL117" s="8"/>
      <c r="CM117" s="9"/>
      <c r="CN117" s="8"/>
      <c r="CO117" s="10"/>
      <c r="CP117" s="8"/>
      <c r="CQ117" s="8"/>
      <c r="CR117" s="8"/>
      <c r="CS117" s="8"/>
      <c r="CT117" s="9"/>
      <c r="CU117" s="8"/>
      <c r="CV117" s="10"/>
      <c r="CW117" s="8"/>
      <c r="CX117" s="8"/>
      <c r="CY117" s="8"/>
      <c r="CZ117" s="8"/>
      <c r="DA117" s="9"/>
      <c r="DB117" s="8"/>
      <c r="DC117" s="10"/>
      <c r="DD117" s="8"/>
    </row>
    <row r="120" ht="12.75">
      <c r="BH120" s="90"/>
    </row>
  </sheetData>
  <mergeCells count="30">
    <mergeCell ref="A1:G1"/>
    <mergeCell ref="A4:G4"/>
    <mergeCell ref="I4:O4"/>
    <mergeCell ref="I1:O1"/>
    <mergeCell ref="BH1:BN1"/>
    <mergeCell ref="BH4:BN4"/>
    <mergeCell ref="BA1:BG1"/>
    <mergeCell ref="BA4:BG4"/>
    <mergeCell ref="Q1:W1"/>
    <mergeCell ref="Q4:W4"/>
    <mergeCell ref="AT1:AZ1"/>
    <mergeCell ref="AT4:AZ4"/>
    <mergeCell ref="BV1:CB1"/>
    <mergeCell ref="BV4:CB4"/>
    <mergeCell ref="Y1:AE1"/>
    <mergeCell ref="Y4:AE4"/>
    <mergeCell ref="AM1:AS1"/>
    <mergeCell ref="AM4:AS4"/>
    <mergeCell ref="AF1:AL1"/>
    <mergeCell ref="AF4:AL4"/>
    <mergeCell ref="BO1:BU1"/>
    <mergeCell ref="BO4:BU4"/>
    <mergeCell ref="CX1:DD1"/>
    <mergeCell ref="CX4:DD4"/>
    <mergeCell ref="CC1:CI1"/>
    <mergeCell ref="CC4:CI4"/>
    <mergeCell ref="CQ1:CW1"/>
    <mergeCell ref="CQ4:CW4"/>
    <mergeCell ref="CJ1:CP1"/>
    <mergeCell ref="CJ4:CP4"/>
  </mergeCells>
  <printOptions/>
  <pageMargins left="0.15748031496062992" right="0.1968503937007874" top="0.1968503937007874" bottom="0.1968503937007874" header="0.5118110236220472" footer="0.5118110236220472"/>
  <pageSetup horizontalDpi="600" verticalDpi="600" orientation="landscape" paperSize="9" scale="10" r:id="rId1"/>
  <rowBreaks count="1" manualBreakCount="1">
    <brk id="117" max="18" man="1"/>
  </rowBreaks>
  <colBreaks count="1" manualBreakCount="1">
    <brk id="31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dojulia</cp:lastModifiedBy>
  <cp:lastPrinted>2003-12-10T10:41:50Z</cp:lastPrinted>
  <dcterms:created xsi:type="dcterms:W3CDTF">2001-03-19T09:33:28Z</dcterms:created>
  <dcterms:modified xsi:type="dcterms:W3CDTF">2004-12-17T07:35:16Z</dcterms:modified>
  <cp:category/>
  <cp:version/>
  <cp:contentType/>
  <cp:contentStatus/>
</cp:coreProperties>
</file>