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150" firstSheet="5" activeTab="14"/>
  </bookViews>
  <sheets>
    <sheet name="Aug 01" sheetId="1" r:id="rId1"/>
    <sheet name="Nov 01" sheetId="2" r:id="rId2"/>
    <sheet name="Feb 02" sheetId="3" r:id="rId3"/>
    <sheet name="May 02" sheetId="4" r:id="rId4"/>
    <sheet name="Aug 02" sheetId="5" r:id="rId5"/>
    <sheet name="Nov 02" sheetId="6" r:id="rId6"/>
    <sheet name="Feb 03" sheetId="7" r:id="rId7"/>
    <sheet name="May 03" sheetId="8" r:id="rId8"/>
    <sheet name="Aug 03" sheetId="9" r:id="rId9"/>
    <sheet name="Nov 03" sheetId="10" r:id="rId10"/>
    <sheet name="Feb 04" sheetId="11" r:id="rId11"/>
    <sheet name="May 04" sheetId="12" r:id="rId12"/>
    <sheet name="Aug 04" sheetId="13" r:id="rId13"/>
    <sheet name="Nov 04" sheetId="14" r:id="rId14"/>
    <sheet name="Feb 05" sheetId="15" r:id="rId15"/>
  </sheets>
  <definedNames>
    <definedName name="PAGE1" localSheetId="8">'Aug 03'!$A$1:$M$50</definedName>
    <definedName name="PAGE1" localSheetId="12">'Aug 04'!$A$1:$M$50</definedName>
    <definedName name="PAGE1" localSheetId="10">'Feb 04'!$A$1:$M$50</definedName>
    <definedName name="PAGE1" localSheetId="14">'Feb 05'!$A$1:$M$50</definedName>
    <definedName name="PAGE1" localSheetId="11">'May 04'!$A$1:$M$50</definedName>
    <definedName name="PAGE1" localSheetId="9">'Nov 03'!$A$1:$M$50</definedName>
    <definedName name="PAGE1" localSheetId="13">'Nov 04'!$A$1:$M$50</definedName>
    <definedName name="PAGE1">'May 03'!$A$1:$M$50</definedName>
    <definedName name="PAGE2" localSheetId="8">'Aug 03'!$A$51:$M$97</definedName>
    <definedName name="PAGE2" localSheetId="12">'Aug 04'!$A$51:$M$97</definedName>
    <definedName name="PAGE2" localSheetId="10">'Feb 04'!$A$51:$M$97</definedName>
    <definedName name="PAGE2" localSheetId="14">'Feb 05'!$A$51:$M$108</definedName>
    <definedName name="PAGE2" localSheetId="11">'May 04'!$A$51:$M$97</definedName>
    <definedName name="PAGE2" localSheetId="9">'Nov 03'!$A$51:$M$97</definedName>
    <definedName name="PAGE2" localSheetId="13">'Nov 04'!$A$51:$M$97</definedName>
    <definedName name="PAGE2">'May 03'!$A$51:$M$97</definedName>
    <definedName name="PAGE3" localSheetId="8">'Aug 03'!$A$98:$M$148</definedName>
    <definedName name="PAGE3" localSheetId="12">'Aug 04'!$A$98:$M$148</definedName>
    <definedName name="PAGE3" localSheetId="10">'Feb 04'!$A$98:$M$148</definedName>
    <definedName name="PAGE3" localSheetId="14">'Feb 05'!$A$109:$M$160</definedName>
    <definedName name="PAGE3" localSheetId="11">'May 04'!$A$98:$M$148</definedName>
    <definedName name="PAGE3" localSheetId="9">'Nov 03'!$A$98:$M$148</definedName>
    <definedName name="PAGE3" localSheetId="13">'Nov 04'!$A$98:$M$148</definedName>
    <definedName name="PAGE3">'May 03'!$A$98:$M$148</definedName>
    <definedName name="PAGE4" localSheetId="8">'Aug 03'!$A$149:$M$209</definedName>
    <definedName name="PAGE4" localSheetId="12">'Aug 04'!$A$149:$M$209</definedName>
    <definedName name="PAGE4" localSheetId="10">'Feb 04'!$A$149:$M$209</definedName>
    <definedName name="PAGE4" localSheetId="14">'Feb 05'!$A$161:$M$222</definedName>
    <definedName name="PAGE4" localSheetId="11">'May 04'!$A$149:$M$209</definedName>
    <definedName name="PAGE4" localSheetId="9">'Nov 03'!$A$149:$M$209</definedName>
    <definedName name="PAGE4" localSheetId="13">'Nov 04'!$A$149:$M$210</definedName>
    <definedName name="PAGE4">'May 03'!$A$149:$M$209</definedName>
    <definedName name="_xlnm.Print_Area" localSheetId="0">'Aug 01'!$A$1:$N$209</definedName>
    <definedName name="_xlnm.Print_Area" localSheetId="4">'Aug 02'!$A$1:$N$210</definedName>
    <definedName name="_xlnm.Print_Area" localSheetId="8">'Aug 03'!$A$1:$N$210</definedName>
    <definedName name="_xlnm.Print_Area" localSheetId="12">'Aug 04'!$A$1:$N$210</definedName>
    <definedName name="_xlnm.Print_Area" localSheetId="2">'Feb 02'!$A$1:$N$210</definedName>
    <definedName name="_xlnm.Print_Area" localSheetId="6">'Feb 03'!$A$1:$N$210</definedName>
    <definedName name="_xlnm.Print_Area" localSheetId="10">'Feb 04'!$A$1:$N$210</definedName>
    <definedName name="_xlnm.Print_Area" localSheetId="14">'Feb 05'!$A$1:$N$223</definedName>
    <definedName name="_xlnm.Print_Area" localSheetId="3">'May 02'!$A$1:$N$210</definedName>
    <definedName name="_xlnm.Print_Area" localSheetId="7">'May 03'!$A$1:$N$210</definedName>
    <definedName name="_xlnm.Print_Area" localSheetId="11">'May 04'!$A$1:$N$210</definedName>
    <definedName name="_xlnm.Print_Area" localSheetId="1">'Nov 01'!$A$1:$N$210</definedName>
    <definedName name="_xlnm.Print_Area" localSheetId="5">'Nov 02'!$A$1:$N$210</definedName>
    <definedName name="_xlnm.Print_Area" localSheetId="9">'Nov 03'!$A$1:$N$210</definedName>
    <definedName name="_xlnm.Print_Area" localSheetId="13">'Nov 04'!$A$1:$N$211</definedName>
    <definedName name="_xlnm.Print_Area">'May 03'!$A$149:$M$209</definedName>
  </definedNames>
  <calcPr calcMode="manual" fullCalcOnLoad="1"/>
</workbook>
</file>

<file path=xl/sharedStrings.xml><?xml version="1.0" encoding="utf-8"?>
<sst xmlns="http://schemas.openxmlformats.org/spreadsheetml/2006/main" count="3701" uniqueCount="224">
  <si>
    <t>Paragon Personal and Auto Finance (No.1) PLC</t>
  </si>
  <si>
    <t>This performance report is issued by Paragon Personal and Auto Finance (No.1) PLC</t>
  </si>
  <si>
    <t>N.B. This data fact sheet and its notes can only be a summary of certain features of the bonds and their structure. No representation can be made that the information herein is accurate or complete and no liability is accepted therefor. Reference should be made to the issue</t>
  </si>
  <si>
    <t>documentation for a full description of the bonds and their structure. This data fact sheet and its notes are for information purposes only and are not intended as an offer or invitation with respect to the purchase or sale of any security. Reliance should not be placed</t>
  </si>
  <si>
    <t>on the information herein when making any decision whether to buy, hold or sell bonds (or other securities) or for any other purpose.</t>
  </si>
  <si>
    <t>Summary Transaction  Features</t>
  </si>
  <si>
    <t>Name of Issuer</t>
  </si>
  <si>
    <t>Asset  % at Closing</t>
  </si>
  <si>
    <t xml:space="preserve">Asset  % at the Quarter End </t>
  </si>
  <si>
    <t>Date of Issue</t>
  </si>
  <si>
    <t>Date of Production</t>
  </si>
  <si>
    <t>Security Level Data</t>
  </si>
  <si>
    <t>Moody's Rating at Closing</t>
  </si>
  <si>
    <t>Standard &amp; Poors at Closing</t>
  </si>
  <si>
    <t>Current Moody's Rating</t>
  </si>
  <si>
    <t xml:space="preserve">Current Standard &amp; Poors </t>
  </si>
  <si>
    <t>ISIN</t>
  </si>
  <si>
    <t>Original Issue Amount (£'000)</t>
  </si>
  <si>
    <t>Previous Outstanding Note Principal</t>
  </si>
  <si>
    <t>Outstanding Note Principal</t>
  </si>
  <si>
    <t xml:space="preserve">Note Interest Margins: </t>
  </si>
  <si>
    <t>Current Note Interest Rates: (LIBOR + Note margins)</t>
  </si>
  <si>
    <t>Previous Note Interest Rates: (LIBOR + Note margins)</t>
  </si>
  <si>
    <t>Optional Redemption (Call) Dates</t>
  </si>
  <si>
    <t>Step-up Dates</t>
  </si>
  <si>
    <t>Step-up Margins</t>
  </si>
  <si>
    <t>Class B &amp; C Notes as a percentage Class A Notes at issue</t>
  </si>
  <si>
    <t>Outstanding Class B &amp; C Notes as a percentage of Outstanding Class A Notes</t>
  </si>
  <si>
    <t>Determination Event for Paying Class B &amp; C Notes</t>
  </si>
  <si>
    <t>Interest Payment Cycle</t>
  </si>
  <si>
    <t>Interest Payment Date</t>
  </si>
  <si>
    <t>Previous Interest Period (No. of Days)</t>
  </si>
  <si>
    <t>Current Interest Period (No. of Days)</t>
  </si>
  <si>
    <t>Interest Calculated on</t>
  </si>
  <si>
    <t>Record Date and PDD</t>
  </si>
  <si>
    <t>PPAF1 INVESTOR REPORT QUARTER ENDING AUGUST 2001</t>
  </si>
  <si>
    <t>Portfolio Asset Movements</t>
  </si>
  <si>
    <t>Personal Loans (£'000)</t>
  </si>
  <si>
    <t>Accrued Arrears and Interest Sold to Issuer (£'000)</t>
  </si>
  <si>
    <t>Retail Credit Loans (£'000)</t>
  </si>
  <si>
    <t>Secured Loans (£'000)</t>
  </si>
  <si>
    <t>Car Finance Loans (£'000)</t>
  </si>
  <si>
    <t>Total (£'000)</t>
  </si>
  <si>
    <t>Credit Enhancement</t>
  </si>
  <si>
    <t>Allocated Purchase Funds</t>
  </si>
  <si>
    <t>Over collateralisation due to replenishment of PDL</t>
  </si>
  <si>
    <t>Discounts on substitutions</t>
  </si>
  <si>
    <t>Repayment of accured arrears and interest</t>
  </si>
  <si>
    <t>Issuer Fund Analysis</t>
  </si>
  <si>
    <t>Cash balance in the Transaction Account  at the  Determination Date</t>
  </si>
  <si>
    <t>Accruals  made to the Interest Payment Date plus cash held in the Collection Acounts</t>
  </si>
  <si>
    <t>First Loss Fund</t>
  </si>
  <si>
    <t>Drawing on the CMS9 Sub Loan to bring the PABT to 1:1 ratio</t>
  </si>
  <si>
    <t>Total Cash for the Period</t>
  </si>
  <si>
    <t xml:space="preserve">Payments made from Issuer Funds </t>
  </si>
  <si>
    <t>Trustee Fee</t>
  </si>
  <si>
    <t>Administration Fee</t>
  </si>
  <si>
    <t>Payments to swap counterparty</t>
  </si>
  <si>
    <t>A Note Interest</t>
  </si>
  <si>
    <t xml:space="preserve">Third Party payments </t>
  </si>
  <si>
    <t>B Note Interest</t>
  </si>
  <si>
    <t>C Note Interest</t>
  </si>
  <si>
    <t>First Loss Fund  replenishments</t>
  </si>
  <si>
    <t>Surplus income to the Issuer</t>
  </si>
  <si>
    <t>Available Credit Enhancement</t>
  </si>
  <si>
    <t>First Loss Fund Analysis</t>
  </si>
  <si>
    <t>First Loss Fund at Closing</t>
  </si>
  <si>
    <t>Last Quarter closing First Loss Fund balance</t>
  </si>
  <si>
    <t>Replenishments</t>
  </si>
  <si>
    <t>Drawing this quarter / Release of Stamp Duty Reserve</t>
  </si>
  <si>
    <t>Drawing used to pay</t>
  </si>
  <si>
    <t>Closing First Loss Fund Balance</t>
  </si>
  <si>
    <t>Non Performing Loans and Write off of Portfolio Assets</t>
  </si>
  <si>
    <t xml:space="preserve">New 12 Month Arrears Loans </t>
  </si>
  <si>
    <t>Write off of loans</t>
  </si>
  <si>
    <t>Total  for the Period</t>
  </si>
  <si>
    <t xml:space="preserve">**Note - Write off of loans in the &gt; 12 months arrears bucket    </t>
  </si>
  <si>
    <t>Over Collateralisation</t>
  </si>
  <si>
    <t>Current Principal Balance  (£'000)</t>
  </si>
  <si>
    <t>Principal Cash (£'000)</t>
  </si>
  <si>
    <t>Total Collateralisation</t>
  </si>
  <si>
    <t>Outstanding Note Principal (£'000)</t>
  </si>
  <si>
    <t>Mandatory and Discretionary Further Advances (FA's)</t>
  </si>
  <si>
    <t>Total FA's permitted</t>
  </si>
  <si>
    <t>FA's made to last quarter</t>
  </si>
  <si>
    <t>FA's made this quarter</t>
  </si>
  <si>
    <t>Total FA's made to date</t>
  </si>
  <si>
    <t>Remaining permitted FA's</t>
  </si>
  <si>
    <t>Collateral Level Data</t>
  </si>
  <si>
    <t>Original Weighted Average Yield</t>
  </si>
  <si>
    <t>Original Weighted Note Coupon</t>
  </si>
  <si>
    <t xml:space="preserve">Original Spread </t>
  </si>
  <si>
    <t>Current Weighted Average Yield</t>
  </si>
  <si>
    <t>Current Weighted Note Coupon</t>
  </si>
  <si>
    <t xml:space="preserve">Current Spread </t>
  </si>
  <si>
    <t>Stated Maturity Class A Notes</t>
  </si>
  <si>
    <t>Stated Maturity Class B Notes</t>
  </si>
  <si>
    <t>Stated Maturity Class C Notes</t>
  </si>
  <si>
    <t>Original Weighted Average Maturity  (years)</t>
  </si>
  <si>
    <t>Current Weighted Average Maturity (years)</t>
  </si>
  <si>
    <t xml:space="preserve">Quarterly Prepayment Rate </t>
  </si>
  <si>
    <t xml:space="preserve">Life Time Prepayment Rate </t>
  </si>
  <si>
    <t>Delinquency Status</t>
  </si>
  <si>
    <t>Enforcements in Progress</t>
  </si>
  <si>
    <t>Enforcements Completed</t>
  </si>
  <si>
    <t>Aggregate Principal Balance of Repurchased Loans</t>
  </si>
  <si>
    <t>Aggregate Balance of Substituted Loans</t>
  </si>
  <si>
    <t>Principal Losses</t>
  </si>
  <si>
    <t>Agg Loan Principal Losses (during related Collection Period)</t>
  </si>
  <si>
    <t>Cumulative Principal Losses (since closing date)</t>
  </si>
  <si>
    <t>Recoveries (Cumulative)</t>
  </si>
  <si>
    <t>Properties Sold</t>
  </si>
  <si>
    <t>Properties Sold by Mortgagee</t>
  </si>
  <si>
    <t>Average Arrears @ Redemption date</t>
  </si>
  <si>
    <t>Average Days between Possession &amp; Redemption</t>
  </si>
  <si>
    <t>Average Sale Price/Orig Loan Valuation</t>
  </si>
  <si>
    <t>Vehicles Sold</t>
  </si>
  <si>
    <t>Vehicles Sold by the administrator</t>
  </si>
  <si>
    <t>Average Days between Possession &amp; Sale</t>
  </si>
  <si>
    <t>Delinquency Summary</t>
  </si>
  <si>
    <t>Performing</t>
  </si>
  <si>
    <t>&gt;1&lt;=2 Months</t>
  </si>
  <si>
    <t>&gt;2&lt;=3 Months</t>
  </si>
  <si>
    <t>&gt;3&lt;=12 Months</t>
  </si>
  <si>
    <t>Total Performing  Assets</t>
  </si>
  <si>
    <t>&gt;12 Months</t>
  </si>
  <si>
    <t>Total Assets</t>
  </si>
  <si>
    <t>Performing Asset Balance Test</t>
  </si>
  <si>
    <t>Total Current Principal Balance of Performing Assets</t>
  </si>
  <si>
    <t>Allocated Purchase Funds from the Priority of Payments</t>
  </si>
  <si>
    <t>Overcollaterlisation on Performing Loans</t>
  </si>
  <si>
    <t>Total</t>
  </si>
  <si>
    <t>Notes Outstanding</t>
  </si>
  <si>
    <t>Result of the Performing Asset Balance Test</t>
  </si>
  <si>
    <t>Contact Name/Address</t>
  </si>
  <si>
    <t>John Harvey, St. Catherines Court, Herbert Road, Solihull, West Midlands, B91 3QE</t>
  </si>
  <si>
    <t>Jimmy Giles, St. Catherines Court, Herbert Road, Solihull, West Midlands, B91 3QE</t>
  </si>
  <si>
    <t>Pool</t>
  </si>
  <si>
    <t>Factor</t>
  </si>
  <si>
    <t>At Closing</t>
  </si>
  <si>
    <t xml:space="preserve">Personal Loans </t>
  </si>
  <si>
    <t>No.</t>
  </si>
  <si>
    <t>Class A Notes</t>
  </si>
  <si>
    <t>Aaa</t>
  </si>
  <si>
    <t>AAA</t>
  </si>
  <si>
    <t>ISIN XS0131608217</t>
  </si>
  <si>
    <t>29 bp</t>
  </si>
  <si>
    <t>June 2004</t>
  </si>
  <si>
    <t>58 bp</t>
  </si>
  <si>
    <t>Last Quarter Balance</t>
  </si>
  <si>
    <t>Retail Credit</t>
  </si>
  <si>
    <t>Unsecured Personal Loans (£'000)</t>
  </si>
  <si>
    <t>%</t>
  </si>
  <si>
    <t>Tel.</t>
  </si>
  <si>
    <t>0121 712 3894</t>
  </si>
  <si>
    <t>0121 712 2315</t>
  </si>
  <si>
    <t xml:space="preserve">Secured Loans </t>
  </si>
  <si>
    <t>£'000 Principal</t>
  </si>
  <si>
    <t>Class B Notes</t>
  </si>
  <si>
    <t>A2</t>
  </si>
  <si>
    <t>A</t>
  </si>
  <si>
    <t>ISIN XS0131609298</t>
  </si>
  <si>
    <t>85 bp</t>
  </si>
  <si>
    <t>170 bp</t>
  </si>
  <si>
    <t>This Quarter Redemptions and Repayments</t>
  </si>
  <si>
    <t>Car Finance</t>
  </si>
  <si>
    <t>E-mail</t>
  </si>
  <si>
    <t>jharvey@paragon-group.co.uk</t>
  </si>
  <si>
    <t>jgiles@paragon-group.co.uk</t>
  </si>
  <si>
    <t>Class C Notes</t>
  </si>
  <si>
    <t>Not Rated</t>
  </si>
  <si>
    <t>BBB</t>
  </si>
  <si>
    <t>ISIN XS0131609538</t>
  </si>
  <si>
    <t>225 bp</t>
  </si>
  <si>
    <t>450 bp</t>
  </si>
  <si>
    <t>Additions this quarter</t>
  </si>
  <si>
    <t>DFA's</t>
  </si>
  <si>
    <t xml:space="preserve">or the IPD falling  in June 2006, whichever is the later </t>
  </si>
  <si>
    <t>Repurchases this quarter</t>
  </si>
  <si>
    <t>MFA's</t>
  </si>
  <si>
    <t>n/a</t>
  </si>
  <si>
    <t>June 2021</t>
  </si>
  <si>
    <t>June 2032</t>
  </si>
  <si>
    <t>June 2048</t>
  </si>
  <si>
    <t>£'000 Value</t>
  </si>
  <si>
    <t>=</t>
  </si>
  <si>
    <t>PPAF (No1) PLC</t>
  </si>
  <si>
    <t>Quarterly</t>
  </si>
  <si>
    <t>ACTUAL/365</t>
  </si>
  <si>
    <t>Current Principal Balance</t>
  </si>
  <si>
    <t>Issuer Funds(£'000)</t>
  </si>
  <si>
    <t>PPAF1 INVESTOR REPORT QUARTER ENDING NOVEMBER 2001</t>
  </si>
  <si>
    <t>Accruals made for the last Quarter</t>
  </si>
  <si>
    <t>PPAF1 INVESTOR REPORT QUARTER ENDING FEBRUARY 2002</t>
  </si>
  <si>
    <t>PPAF1 INVESTOR REPORT QUARTER ENDING MAY 2002</t>
  </si>
  <si>
    <t>PPAF1 INVESTOR REPORT QUARTER ENDING AUGUST 2002</t>
  </si>
  <si>
    <t>PPAF1 INVESTOR REPORT QUARTER ENDING NOVEMBER 2002</t>
  </si>
  <si>
    <t>PPAF1 INVESTOR REPORT QUARTER ENDING FEBRUARY 2003</t>
  </si>
  <si>
    <t>PPAF1 INVESTOR REPORT QUARTER ENDING MAY 2003</t>
  </si>
  <si>
    <t>PPAF1 INVESTOR REPORT QUARTER ENDING AUGUST 2003</t>
  </si>
  <si>
    <t>PPAF1 INVESTOR REPORT QUARTER ENDING NOVEMBER 2003</t>
  </si>
  <si>
    <t>PPAF1 INVESTOR REPORT QUARTER ENDING FEBRUARY 2004</t>
  </si>
  <si>
    <t>ACTUAL/366</t>
  </si>
  <si>
    <t>PPAF1 INVESTOR REPORT QUARTER ENDING MAY 2004</t>
  </si>
  <si>
    <t>PPAF1 INVESTOR REPORT QUARTER ENDING AUGUST 2004</t>
  </si>
  <si>
    <t>Drawing on the CMS9 Sub Loan to bring the PABT to 1:1 ratio / interest shortfalls</t>
  </si>
  <si>
    <t>PPAF1 INVESTOR REPORT QUARTER ENDING NOVEMBER 2004</t>
  </si>
  <si>
    <t>Number of Properties in Possession</t>
  </si>
  <si>
    <t>john.harvey@paragon-group.co.uk</t>
  </si>
  <si>
    <t>jimmy.giles@paragon-group.co.uk</t>
  </si>
  <si>
    <t>N.B. This data fact sheet and its notes can only be a summary of certain features of the bonds and their structure. No representation can be made that the information herein is accurate or complete and no liability is accepted therefor. Reference should b</t>
  </si>
  <si>
    <t>documentation for a full description of the bonds and their structure. This data fact sheet and its notes are for information purposes only and are not intended as an offer or invitation with respect to the purchase or sale of any security. Reliance shoul</t>
  </si>
  <si>
    <t>PPAF1 INVESTOR REPORT QUARTER ENDING FEBRUARY 2005</t>
  </si>
  <si>
    <t>Repayment of Notes</t>
  </si>
  <si>
    <t>Repayment of the First Loss Fund</t>
  </si>
  <si>
    <t>Principal payments made from Principal Income:</t>
  </si>
  <si>
    <t>Opening Cash</t>
  </si>
  <si>
    <t>A Note repayments</t>
  </si>
  <si>
    <t>B Note repayments</t>
  </si>
  <si>
    <t>C Note repayments</t>
  </si>
  <si>
    <t>Total payments to be made this quarter</t>
  </si>
  <si>
    <t>Total closing cash balance</t>
  </si>
  <si>
    <t>Note Repayments</t>
  </si>
  <si>
    <t>Cash balance in the Transaction Account  at the Determination Date and Interest Payment Date</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</si>
</sst>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809]#,##0"/>
    <numFmt numFmtId="181" formatCode="[$£-809]#,##0.00"/>
    <numFmt numFmtId="182" formatCode="#,##0.0000"/>
    <numFmt numFmtId="183" formatCode="dd/mm"/>
    <numFmt numFmtId="184" formatCode="0.00000%"/>
    <numFmt numFmtId="185" formatCode="0.0%"/>
    <numFmt numFmtId="186" formatCode="d\-mmm\-yy"/>
  </numFmts>
  <fonts count="27">
    <font>
      <sz val="12"/>
      <name val="Arial"/>
      <family val="0"/>
    </font>
    <font>
      <b/>
      <sz val="10"/>
      <name val="Arial"/>
      <family val="0"/>
    </font>
    <font>
      <i/>
      <sz val="10"/>
      <name val="Arial"/>
      <family val="0"/>
    </font>
    <font>
      <b/>
      <i/>
      <sz val="10"/>
      <name val="Arial"/>
      <family val="0"/>
    </font>
    <font>
      <sz val="12"/>
      <name val="Times New Roman"/>
      <family val="0"/>
    </font>
    <font>
      <b/>
      <u val="single"/>
      <sz val="16"/>
      <color indexed="12"/>
      <name val="Times New Roman"/>
      <family val="0"/>
    </font>
    <font>
      <b/>
      <u val="single"/>
      <sz val="12"/>
      <name val="Times New Roman"/>
      <family val="0"/>
    </font>
    <font>
      <u val="single"/>
      <sz val="12"/>
      <name val="Times New Roman"/>
      <family val="0"/>
    </font>
    <font>
      <b/>
      <sz val="12"/>
      <color indexed="29"/>
      <name val="Times New Roman"/>
      <family val="0"/>
    </font>
    <font>
      <b/>
      <i/>
      <sz val="8"/>
      <name val="Times New Roman"/>
      <family val="0"/>
    </font>
    <font>
      <b/>
      <i/>
      <sz val="12"/>
      <name val="Times New Roman"/>
      <family val="0"/>
    </font>
    <font>
      <sz val="12"/>
      <name val="Arial MT"/>
      <family val="0"/>
    </font>
    <font>
      <b/>
      <sz val="12"/>
      <name val="Times New Roman"/>
      <family val="0"/>
    </font>
    <font>
      <b/>
      <sz val="12"/>
      <color indexed="12"/>
      <name val="Times New Roman"/>
      <family val="0"/>
    </font>
    <font>
      <sz val="12"/>
      <color indexed="12"/>
      <name val="Times New Roman"/>
      <family val="0"/>
    </font>
    <font>
      <b/>
      <u val="single"/>
      <sz val="12"/>
      <color indexed="12"/>
      <name val="Times New Roman"/>
      <family val="0"/>
    </font>
    <font>
      <b/>
      <sz val="12"/>
      <color indexed="12"/>
      <name val="Arial MT"/>
      <family val="0"/>
    </font>
    <font>
      <sz val="12"/>
      <color indexed="8"/>
      <name val="Times New Roman"/>
      <family val="0"/>
    </font>
    <font>
      <b/>
      <sz val="12"/>
      <color indexed="8"/>
      <name val="Times New Roman"/>
      <family val="0"/>
    </font>
    <font>
      <b/>
      <u val="double"/>
      <sz val="12"/>
      <color indexed="12"/>
      <name val="Times New Roman"/>
      <family val="0"/>
    </font>
    <font>
      <sz val="12"/>
      <color indexed="12"/>
      <name val="Arial MT"/>
      <family val="0"/>
    </font>
    <font>
      <b/>
      <sz val="12"/>
      <name val="Arial MT"/>
      <family val="0"/>
    </font>
    <font>
      <b/>
      <sz val="12"/>
      <color indexed="53"/>
      <name val="Times New Roman"/>
      <family val="1"/>
    </font>
    <font>
      <b/>
      <u val="single"/>
      <sz val="12"/>
      <color indexed="53"/>
      <name val="Times New Roman"/>
      <family val="1"/>
    </font>
    <font>
      <sz val="12"/>
      <color indexed="53"/>
      <name val="Times New Roman"/>
      <family val="1"/>
    </font>
    <font>
      <sz val="12"/>
      <color indexed="53"/>
      <name val="Arial"/>
      <family val="0"/>
    </font>
    <font>
      <u val="single"/>
      <sz val="8.4"/>
      <color indexed="12"/>
      <name val="Arial"/>
      <family val="0"/>
    </font>
  </fonts>
  <fills count="4">
    <fill>
      <patternFill/>
    </fill>
    <fill>
      <patternFill patternType="gray125"/>
    </fill>
    <fill>
      <patternFill patternType="solid">
        <fgColor indexed="26"/>
        <bgColor indexed="64"/>
      </patternFill>
    </fill>
    <fill>
      <patternFill patternType="solid">
        <fgColor indexed="26"/>
        <bgColor indexed="64"/>
      </patternFill>
    </fill>
  </fills>
  <borders count="9">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1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cellStyleXfs>
  <cellXfs count="181">
    <xf numFmtId="0" fontId="0" fillId="0" borderId="0" xfId="0" applyAlignment="1">
      <alignment/>
    </xf>
    <xf numFmtId="0" fontId="0" fillId="0" borderId="0" xfId="0" applyNumberFormat="1" applyFont="1" applyAlignment="1">
      <alignment/>
    </xf>
    <xf numFmtId="0" fontId="4" fillId="2" borderId="1" xfId="0" applyNumberFormat="1" applyFont="1" applyFill="1" applyAlignment="1">
      <alignment/>
    </xf>
    <xf numFmtId="0" fontId="5" fillId="2" borderId="2" xfId="0" applyNumberFormat="1" applyFont="1" applyFill="1" applyAlignment="1">
      <alignment/>
    </xf>
    <xf numFmtId="0" fontId="6" fillId="2" borderId="2" xfId="0" applyNumberFormat="1" applyFont="1" applyFill="1" applyAlignment="1">
      <alignment/>
    </xf>
    <xf numFmtId="0" fontId="4" fillId="2" borderId="2" xfId="0" applyNumberFormat="1" applyFont="1" applyFill="1" applyAlignment="1">
      <alignment/>
    </xf>
    <xf numFmtId="0" fontId="0" fillId="0" borderId="3" xfId="0" applyNumberFormat="1" applyAlignment="1">
      <alignment/>
    </xf>
    <xf numFmtId="0" fontId="4" fillId="2" borderId="3" xfId="0" applyNumberFormat="1" applyFont="1" applyFill="1" applyAlignment="1">
      <alignment/>
    </xf>
    <xf numFmtId="0" fontId="7" fillId="2" borderId="0" xfId="0" applyNumberFormat="1" applyFont="1" applyFill="1" applyAlignment="1">
      <alignment/>
    </xf>
    <xf numFmtId="0" fontId="4" fillId="2" borderId="0" xfId="0" applyNumberFormat="1" applyFont="1" applyFill="1" applyAlignment="1">
      <alignment/>
    </xf>
    <xf numFmtId="0" fontId="4" fillId="2" borderId="3" xfId="0" applyNumberFormat="1" applyFont="1" applyFill="1" applyAlignment="1">
      <alignment horizontal="center"/>
    </xf>
    <xf numFmtId="0" fontId="8" fillId="2" borderId="0" xfId="0" applyNumberFormat="1" applyFont="1" applyFill="1" applyAlignment="1">
      <alignment/>
    </xf>
    <xf numFmtId="0" fontId="9" fillId="2" borderId="0" xfId="0" applyNumberFormat="1" applyFont="1" applyFill="1" applyAlignment="1">
      <alignment/>
    </xf>
    <xf numFmtId="0" fontId="10" fillId="2" borderId="0" xfId="0" applyNumberFormat="1" applyFont="1" applyFill="1" applyAlignment="1">
      <alignment/>
    </xf>
    <xf numFmtId="0" fontId="11" fillId="2" borderId="0" xfId="0" applyNumberFormat="1" applyFont="1" applyFill="1" applyAlignment="1">
      <alignment/>
    </xf>
    <xf numFmtId="0" fontId="12" fillId="2" borderId="0" xfId="0" applyNumberFormat="1" applyFont="1" applyFill="1" applyAlignment="1">
      <alignment/>
    </xf>
    <xf numFmtId="0" fontId="13" fillId="2" borderId="0" xfId="0" applyNumberFormat="1" applyFont="1" applyFill="1" applyAlignment="1">
      <alignment/>
    </xf>
    <xf numFmtId="0" fontId="14" fillId="2" borderId="0" xfId="0" applyNumberFormat="1" applyFont="1" applyFill="1" applyAlignment="1">
      <alignment/>
    </xf>
    <xf numFmtId="0" fontId="15" fillId="2" borderId="0" xfId="0" applyNumberFormat="1" applyFont="1" applyFill="1" applyAlignment="1">
      <alignment horizontal="center" wrapText="1"/>
    </xf>
    <xf numFmtId="0" fontId="13" fillId="2" borderId="0" xfId="0" applyNumberFormat="1" applyFont="1" applyFill="1" applyAlignment="1">
      <alignment horizontal="center"/>
    </xf>
    <xf numFmtId="10" fontId="13" fillId="2" borderId="0" xfId="0" applyNumberFormat="1" applyFont="1" applyFill="1" applyAlignment="1">
      <alignment horizontal="center"/>
    </xf>
    <xf numFmtId="15" fontId="13" fillId="2" borderId="0" xfId="0" applyNumberFormat="1" applyFont="1" applyFill="1" applyAlignment="1">
      <alignment horizontal="center"/>
    </xf>
    <xf numFmtId="0" fontId="4" fillId="2" borderId="0" xfId="0" applyNumberFormat="1" applyFont="1" applyFill="1" applyAlignment="1">
      <alignment horizontal="center"/>
    </xf>
    <xf numFmtId="0" fontId="6" fillId="2" borderId="0" xfId="0" applyNumberFormat="1" applyFont="1" applyFill="1" applyAlignment="1">
      <alignment/>
    </xf>
    <xf numFmtId="0" fontId="4" fillId="2" borderId="0" xfId="0" applyNumberFormat="1" applyFont="1" applyFill="1" applyAlignment="1">
      <alignment horizontal="right"/>
    </xf>
    <xf numFmtId="0" fontId="8" fillId="2" borderId="0" xfId="0" applyNumberFormat="1" applyFont="1" applyFill="1" applyAlignment="1">
      <alignment horizontal="center"/>
    </xf>
    <xf numFmtId="0" fontId="8" fillId="2" borderId="0" xfId="0" applyNumberFormat="1" applyFont="1" applyFill="1" applyAlignment="1">
      <alignment horizontal="center" wrapText="1"/>
    </xf>
    <xf numFmtId="0" fontId="4" fillId="2" borderId="0" xfId="0" applyNumberFormat="1" applyFont="1" applyFill="1" applyAlignment="1">
      <alignment horizontal="center" wrapText="1"/>
    </xf>
    <xf numFmtId="0" fontId="4" fillId="2" borderId="4" xfId="0" applyNumberFormat="1" applyFont="1" applyFill="1" applyAlignment="1">
      <alignment/>
    </xf>
    <xf numFmtId="0" fontId="4" fillId="2" borderId="5" xfId="0" applyNumberFormat="1" applyFont="1" applyFill="1" applyAlignment="1">
      <alignment/>
    </xf>
    <xf numFmtId="0" fontId="8" fillId="2" borderId="5" xfId="0" applyNumberFormat="1" applyFont="1" applyFill="1" applyAlignment="1">
      <alignment horizontal="center"/>
    </xf>
    <xf numFmtId="0" fontId="4" fillId="2" borderId="5" xfId="0" applyNumberFormat="1" applyFont="1" applyFill="1" applyAlignment="1">
      <alignment horizontal="center" wrapText="1"/>
    </xf>
    <xf numFmtId="0" fontId="11" fillId="2" borderId="5" xfId="0" applyNumberFormat="1" applyFont="1" applyFill="1" applyAlignment="1">
      <alignment/>
    </xf>
    <xf numFmtId="0" fontId="13" fillId="2" borderId="5" xfId="0" applyNumberFormat="1" applyFont="1" applyFill="1" applyAlignment="1">
      <alignment/>
    </xf>
    <xf numFmtId="0" fontId="13" fillId="2" borderId="5" xfId="0" applyNumberFormat="1" applyFont="1" applyFill="1" applyAlignment="1">
      <alignment horizontal="center" wrapText="1"/>
    </xf>
    <xf numFmtId="0" fontId="16" fillId="2" borderId="5" xfId="0" applyNumberFormat="1" applyFont="1" applyFill="1" applyAlignment="1">
      <alignment/>
    </xf>
    <xf numFmtId="0" fontId="4" fillId="2" borderId="5" xfId="0" applyNumberFormat="1" applyFont="1" applyFill="1" applyAlignment="1">
      <alignment horizontal="center"/>
    </xf>
    <xf numFmtId="180" fontId="4" fillId="2" borderId="5" xfId="0" applyNumberFormat="1" applyFont="1" applyFill="1" applyAlignment="1">
      <alignment horizontal="center"/>
    </xf>
    <xf numFmtId="180" fontId="4" fillId="2" borderId="5" xfId="0" applyNumberFormat="1" applyFont="1" applyFill="1" applyAlignment="1">
      <alignment/>
    </xf>
    <xf numFmtId="180" fontId="11" fillId="2" borderId="5" xfId="0" applyNumberFormat="1" applyFont="1" applyFill="1" applyAlignment="1">
      <alignment/>
    </xf>
    <xf numFmtId="181" fontId="4" fillId="2" borderId="5" xfId="0" applyNumberFormat="1" applyFont="1" applyFill="1" applyAlignment="1">
      <alignment/>
    </xf>
    <xf numFmtId="182" fontId="4" fillId="2" borderId="5" xfId="0" applyNumberFormat="1" applyFont="1" applyFill="1" applyAlignment="1">
      <alignment/>
    </xf>
    <xf numFmtId="183" fontId="4" fillId="2" borderId="5" xfId="0" applyNumberFormat="1" applyFont="1" applyFill="1" applyAlignment="1">
      <alignment horizontal="center"/>
    </xf>
    <xf numFmtId="0" fontId="13" fillId="2" borderId="4" xfId="0" applyNumberFormat="1" applyFont="1" applyFill="1" applyAlignment="1">
      <alignment/>
    </xf>
    <xf numFmtId="182" fontId="17" fillId="2" borderId="5" xfId="0" applyNumberFormat="1" applyFont="1" applyFill="1" applyAlignment="1">
      <alignment/>
    </xf>
    <xf numFmtId="180" fontId="13" fillId="2" borderId="5" xfId="0" applyNumberFormat="1" applyFont="1" applyFill="1" applyAlignment="1">
      <alignment horizontal="center"/>
    </xf>
    <xf numFmtId="180" fontId="13" fillId="2" borderId="5" xfId="0" applyNumberFormat="1" applyFont="1" applyFill="1" applyAlignment="1">
      <alignment/>
    </xf>
    <xf numFmtId="180" fontId="16" fillId="2" borderId="5" xfId="0" applyNumberFormat="1" applyFont="1" applyFill="1" applyAlignment="1">
      <alignment/>
    </xf>
    <xf numFmtId="184" fontId="0" fillId="2" borderId="5" xfId="0" applyNumberFormat="1" applyFont="1" applyFill="1" applyAlignment="1">
      <alignment/>
    </xf>
    <xf numFmtId="184" fontId="4" fillId="2" borderId="5" xfId="0" applyNumberFormat="1" applyFont="1" applyFill="1" applyAlignment="1">
      <alignment horizontal="center"/>
    </xf>
    <xf numFmtId="184" fontId="4" fillId="2" borderId="5" xfId="0" applyNumberFormat="1" applyFont="1" applyFill="1" applyAlignment="1">
      <alignment/>
    </xf>
    <xf numFmtId="10" fontId="4" fillId="2" borderId="5" xfId="0" applyNumberFormat="1" applyFont="1" applyFill="1" applyAlignment="1">
      <alignment horizontal="center"/>
    </xf>
    <xf numFmtId="15" fontId="4" fillId="2" borderId="5" xfId="0" applyNumberFormat="1" applyFont="1" applyFill="1" applyAlignment="1">
      <alignment horizontal="center"/>
    </xf>
    <xf numFmtId="0" fontId="4" fillId="2" borderId="5" xfId="0" applyNumberFormat="1" applyFont="1" applyFill="1" applyAlignment="1">
      <alignment horizontal="right"/>
    </xf>
    <xf numFmtId="4" fontId="4" fillId="2" borderId="5" xfId="0" applyNumberFormat="1" applyFont="1" applyFill="1" applyAlignment="1">
      <alignment horizontal="center"/>
    </xf>
    <xf numFmtId="15" fontId="13" fillId="2" borderId="5" xfId="0" applyNumberFormat="1" applyFont="1" applyFill="1" applyAlignment="1">
      <alignment horizontal="center"/>
    </xf>
    <xf numFmtId="15" fontId="13" fillId="2" borderId="5" xfId="0" applyNumberFormat="1" applyFont="1" applyFill="1" applyAlignment="1">
      <alignment horizontal="center"/>
    </xf>
    <xf numFmtId="15" fontId="4" fillId="2" borderId="5" xfId="0" applyNumberFormat="1" applyFont="1" applyFill="1" applyAlignment="1">
      <alignment/>
    </xf>
    <xf numFmtId="15" fontId="17" fillId="2" borderId="5" xfId="0" applyNumberFormat="1" applyFont="1" applyFill="1" applyAlignment="1">
      <alignment horizontal="center"/>
    </xf>
    <xf numFmtId="15" fontId="17" fillId="2" borderId="5" xfId="0" applyNumberFormat="1" applyFont="1" applyFill="1" applyAlignment="1">
      <alignment horizontal="center"/>
    </xf>
    <xf numFmtId="0" fontId="4" fillId="2" borderId="5" xfId="0" applyNumberFormat="1" applyFont="1" applyFill="1" applyAlignment="1">
      <alignment horizontal="right"/>
    </xf>
    <xf numFmtId="0" fontId="4" fillId="2" borderId="0" xfId="0" applyNumberFormat="1" applyFont="1" applyFill="1" applyAlignment="1">
      <alignment horizontal="right"/>
    </xf>
    <xf numFmtId="4" fontId="4" fillId="2" borderId="2" xfId="0" applyNumberFormat="1" applyFont="1" applyFill="1" applyAlignment="1">
      <alignment horizontal="right"/>
    </xf>
    <xf numFmtId="0" fontId="15" fillId="2" borderId="0" xfId="0" applyNumberFormat="1" applyFont="1" applyFill="1" applyAlignment="1">
      <alignment/>
    </xf>
    <xf numFmtId="4" fontId="4" fillId="2" borderId="0" xfId="0" applyNumberFormat="1" applyFont="1" applyFill="1" applyAlignment="1">
      <alignment horizontal="right"/>
    </xf>
    <xf numFmtId="0" fontId="8" fillId="2" borderId="0" xfId="0" applyNumberFormat="1" applyFont="1" applyFill="1" applyAlignment="1">
      <alignment horizontal="left" vertical="top" wrapText="1"/>
    </xf>
    <xf numFmtId="3" fontId="4" fillId="2" borderId="5" xfId="0" applyNumberFormat="1" applyFont="1" applyFill="1" applyAlignment="1">
      <alignment/>
    </xf>
    <xf numFmtId="3" fontId="17" fillId="2" borderId="5" xfId="0" applyNumberFormat="1" applyFont="1" applyFill="1" applyAlignment="1">
      <alignment horizontal="right"/>
    </xf>
    <xf numFmtId="3" fontId="17" fillId="2" borderId="5" xfId="0" applyNumberFormat="1" applyFont="1" applyFill="1" applyAlignment="1">
      <alignment/>
    </xf>
    <xf numFmtId="0" fontId="8" fillId="2" borderId="5" xfId="0" applyNumberFormat="1" applyFont="1" applyFill="1" applyAlignment="1">
      <alignment/>
    </xf>
    <xf numFmtId="10" fontId="4" fillId="2" borderId="5" xfId="0" applyNumberFormat="1" applyFont="1" applyFill="1" applyAlignment="1">
      <alignment/>
    </xf>
    <xf numFmtId="0" fontId="0" fillId="2" borderId="5" xfId="0" applyNumberFormat="1" applyFont="1" applyFill="1" applyAlignment="1">
      <alignment/>
    </xf>
    <xf numFmtId="3" fontId="0" fillId="0" borderId="0" xfId="0" applyNumberFormat="1" applyAlignment="1">
      <alignment/>
    </xf>
    <xf numFmtId="0" fontId="6" fillId="2" borderId="5" xfId="0" applyNumberFormat="1" applyFont="1" applyFill="1" applyAlignment="1">
      <alignment/>
    </xf>
    <xf numFmtId="3" fontId="4" fillId="2" borderId="0" xfId="0" applyNumberFormat="1" applyFont="1" applyFill="1" applyAlignment="1">
      <alignment/>
    </xf>
    <xf numFmtId="3" fontId="4" fillId="2" borderId="2" xfId="0" applyNumberFormat="1" applyFont="1" applyFill="1" applyAlignment="1">
      <alignment/>
    </xf>
    <xf numFmtId="0" fontId="4" fillId="3" borderId="3" xfId="0" applyNumberFormat="1" applyFont="1" applyFill="1" applyAlignment="1">
      <alignment/>
    </xf>
    <xf numFmtId="0" fontId="15" fillId="3" borderId="0" xfId="0" applyNumberFormat="1" applyFont="1" applyFill="1" applyAlignment="1">
      <alignment/>
    </xf>
    <xf numFmtId="0" fontId="4" fillId="3" borderId="0" xfId="0" applyNumberFormat="1" applyFont="1" applyFill="1" applyAlignment="1">
      <alignment/>
    </xf>
    <xf numFmtId="4" fontId="4" fillId="3" borderId="0" xfId="0" applyNumberFormat="1" applyFont="1" applyFill="1" applyAlignment="1">
      <alignment horizontal="right"/>
    </xf>
    <xf numFmtId="0" fontId="7" fillId="3" borderId="0" xfId="0" applyNumberFormat="1" applyFont="1" applyFill="1" applyAlignment="1">
      <alignment/>
    </xf>
    <xf numFmtId="3" fontId="4" fillId="2" borderId="5" xfId="0" applyNumberFormat="1" applyFont="1" applyFill="1" applyAlignment="1">
      <alignment horizontal="right"/>
    </xf>
    <xf numFmtId="0" fontId="0" fillId="2" borderId="0" xfId="0" applyNumberFormat="1" applyFont="1" applyFill="1" applyAlignment="1">
      <alignment/>
    </xf>
    <xf numFmtId="4" fontId="17" fillId="2" borderId="0" xfId="0" applyNumberFormat="1" applyFont="1" applyFill="1" applyAlignment="1">
      <alignment horizontal="right"/>
    </xf>
    <xf numFmtId="0" fontId="0" fillId="2" borderId="5" xfId="0" applyNumberFormat="1" applyFont="1" applyFill="1" applyAlignment="1">
      <alignment/>
    </xf>
    <xf numFmtId="4" fontId="4" fillId="2" borderId="5" xfId="0" applyNumberFormat="1" applyFont="1" applyFill="1" applyAlignment="1">
      <alignment horizontal="right"/>
    </xf>
    <xf numFmtId="0" fontId="12" fillId="2" borderId="5" xfId="0" applyNumberFormat="1" applyFont="1" applyFill="1" applyAlignment="1">
      <alignment/>
    </xf>
    <xf numFmtId="0" fontId="8" fillId="2" borderId="0" xfId="0" applyNumberFormat="1" applyFont="1" applyFill="1" applyAlignment="1">
      <alignment horizontal="right"/>
    </xf>
    <xf numFmtId="4" fontId="8" fillId="2" borderId="0" xfId="0" applyNumberFormat="1" applyFont="1" applyFill="1" applyAlignment="1">
      <alignment horizontal="center"/>
    </xf>
    <xf numFmtId="3" fontId="17" fillId="2" borderId="5" xfId="0" applyNumberFormat="1" applyFont="1" applyFill="1" applyAlignment="1">
      <alignment horizontal="center"/>
    </xf>
    <xf numFmtId="0" fontId="17" fillId="2" borderId="3" xfId="0" applyNumberFormat="1" applyFont="1" applyFill="1" applyAlignment="1">
      <alignment/>
    </xf>
    <xf numFmtId="15" fontId="13" fillId="2" borderId="0" xfId="0" applyNumberFormat="1" applyFont="1" applyFill="1" applyAlignment="1">
      <alignment horizontal="centerContinuous"/>
    </xf>
    <xf numFmtId="0" fontId="17" fillId="2" borderId="4" xfId="0" applyNumberFormat="1" applyFont="1" applyFill="1" applyAlignment="1">
      <alignment/>
    </xf>
    <xf numFmtId="0" fontId="17" fillId="2" borderId="5" xfId="0" applyNumberFormat="1" applyFont="1" applyFill="1" applyAlignment="1">
      <alignment/>
    </xf>
    <xf numFmtId="15" fontId="18" fillId="2" borderId="5" xfId="0" applyNumberFormat="1" applyFont="1" applyFill="1" applyAlignment="1">
      <alignment horizontal="centerContinuous"/>
    </xf>
    <xf numFmtId="15" fontId="18" fillId="2" borderId="5" xfId="0" applyNumberFormat="1" applyFont="1" applyFill="1" applyAlignment="1">
      <alignment horizontal="center"/>
    </xf>
    <xf numFmtId="10" fontId="17" fillId="2" borderId="5" xfId="0" applyNumberFormat="1" applyFont="1" applyFill="1" applyAlignment="1">
      <alignment horizontal="center"/>
    </xf>
    <xf numFmtId="4" fontId="17" fillId="2" borderId="5" xfId="0" applyNumberFormat="1" applyFont="1" applyFill="1" applyAlignment="1">
      <alignment horizontal="center"/>
    </xf>
    <xf numFmtId="4" fontId="4" fillId="2" borderId="5" xfId="0" applyNumberFormat="1" applyFont="1" applyFill="1" applyAlignment="1">
      <alignment horizontal="center"/>
    </xf>
    <xf numFmtId="0" fontId="4" fillId="2" borderId="5" xfId="0" applyNumberFormat="1" applyFont="1" applyFill="1" applyAlignment="1">
      <alignment/>
    </xf>
    <xf numFmtId="0" fontId="17" fillId="2" borderId="0" xfId="0" applyNumberFormat="1" applyFont="1" applyFill="1" applyAlignment="1">
      <alignment/>
    </xf>
    <xf numFmtId="4" fontId="4" fillId="2" borderId="0" xfId="0" applyNumberFormat="1" applyFont="1" applyFill="1" applyAlignment="1">
      <alignment horizontal="center"/>
    </xf>
    <xf numFmtId="0" fontId="4" fillId="2" borderId="0" xfId="0" applyNumberFormat="1" applyFont="1" applyFill="1" applyAlignment="1">
      <alignment/>
    </xf>
    <xf numFmtId="0" fontId="17" fillId="2" borderId="1" xfId="0" applyNumberFormat="1" applyFont="1" applyFill="1" applyAlignment="1">
      <alignment horizontal="right"/>
    </xf>
    <xf numFmtId="0" fontId="15" fillId="2" borderId="2" xfId="0" applyNumberFormat="1" applyFont="1" applyFill="1" applyAlignment="1">
      <alignment/>
    </xf>
    <xf numFmtId="0" fontId="13" fillId="2" borderId="2" xfId="0" applyNumberFormat="1" applyFont="1" applyFill="1" applyAlignment="1">
      <alignment horizontal="center"/>
    </xf>
    <xf numFmtId="3" fontId="13" fillId="2" borderId="2" xfId="0" applyNumberFormat="1" applyFont="1" applyFill="1" applyAlignment="1">
      <alignment horizontal="center"/>
    </xf>
    <xf numFmtId="0" fontId="14" fillId="2" borderId="2" xfId="0" applyNumberFormat="1" applyFont="1" applyFill="1" applyAlignment="1">
      <alignment/>
    </xf>
    <xf numFmtId="0" fontId="17" fillId="2" borderId="4" xfId="0" applyNumberFormat="1" applyFont="1" applyFill="1" applyAlignment="1">
      <alignment horizontal="right"/>
    </xf>
    <xf numFmtId="3" fontId="18" fillId="2" borderId="5" xfId="0" applyNumberFormat="1" applyFont="1" applyFill="1" applyAlignment="1">
      <alignment/>
    </xf>
    <xf numFmtId="0" fontId="17" fillId="2" borderId="5" xfId="0" applyNumberFormat="1" applyFont="1" applyFill="1" applyAlignment="1">
      <alignment horizontal="right"/>
    </xf>
    <xf numFmtId="0" fontId="17" fillId="2" borderId="4" xfId="0" applyNumberFormat="1" applyFont="1" applyFill="1" applyAlignment="1">
      <alignment horizontal="center"/>
    </xf>
    <xf numFmtId="4" fontId="17" fillId="2" borderId="5" xfId="0" applyNumberFormat="1" applyFont="1" applyFill="1" applyAlignment="1">
      <alignment horizontal="right"/>
    </xf>
    <xf numFmtId="0" fontId="18" fillId="2" borderId="5" xfId="0" applyNumberFormat="1" applyFont="1" applyFill="1" applyAlignment="1">
      <alignment/>
    </xf>
    <xf numFmtId="0" fontId="17" fillId="2" borderId="5" xfId="0" applyNumberFormat="1" applyFont="1" applyFill="1" applyAlignment="1">
      <alignment horizontal="right"/>
    </xf>
    <xf numFmtId="4" fontId="17" fillId="2" borderId="5" xfId="0" applyNumberFormat="1" applyFont="1" applyFill="1" applyAlignment="1">
      <alignment horizontal="right"/>
    </xf>
    <xf numFmtId="9" fontId="17" fillId="2" borderId="5" xfId="0" applyNumberFormat="1" applyFont="1" applyFill="1" applyAlignment="1">
      <alignment horizontal="right"/>
    </xf>
    <xf numFmtId="10" fontId="17" fillId="2" borderId="5" xfId="0" applyNumberFormat="1" applyFont="1" applyFill="1" applyAlignment="1">
      <alignment horizontal="center"/>
    </xf>
    <xf numFmtId="0" fontId="17" fillId="2" borderId="5" xfId="0" applyNumberFormat="1" applyFont="1" applyFill="1" applyAlignment="1">
      <alignment horizontal="center"/>
    </xf>
    <xf numFmtId="0" fontId="19" fillId="2" borderId="5" xfId="0" applyNumberFormat="1" applyFont="1" applyFill="1" applyAlignment="1">
      <alignment/>
    </xf>
    <xf numFmtId="0" fontId="13" fillId="2" borderId="5" xfId="0" applyNumberFormat="1" applyFont="1" applyFill="1" applyAlignment="1">
      <alignment horizontal="center"/>
    </xf>
    <xf numFmtId="3" fontId="13" fillId="2" borderId="5" xfId="0" applyNumberFormat="1" applyFont="1" applyFill="1" applyAlignment="1">
      <alignment horizontal="center"/>
    </xf>
    <xf numFmtId="0" fontId="14" fillId="2" borderId="5" xfId="0" applyNumberFormat="1" applyFont="1" applyFill="1" applyAlignment="1">
      <alignment/>
    </xf>
    <xf numFmtId="3" fontId="17" fillId="2" borderId="5" xfId="0" applyNumberFormat="1" applyFont="1" applyFill="1" applyAlignment="1">
      <alignment horizontal="center"/>
    </xf>
    <xf numFmtId="0" fontId="17" fillId="2" borderId="5" xfId="0" applyNumberFormat="1" applyFont="1" applyFill="1" applyAlignment="1">
      <alignment horizontal="center"/>
    </xf>
    <xf numFmtId="4" fontId="13" fillId="2" borderId="5" xfId="0" applyNumberFormat="1" applyFont="1" applyFill="1" applyAlignment="1">
      <alignment horizontal="center"/>
    </xf>
    <xf numFmtId="0" fontId="18" fillId="2" borderId="5" xfId="0" applyNumberFormat="1" applyFont="1" applyFill="1" applyAlignment="1">
      <alignment horizontal="center"/>
    </xf>
    <xf numFmtId="9" fontId="17" fillId="2" borderId="5" xfId="0" applyNumberFormat="1" applyFont="1" applyFill="1" applyAlignment="1">
      <alignment horizontal="center"/>
    </xf>
    <xf numFmtId="3" fontId="18" fillId="2" borderId="5" xfId="0" applyNumberFormat="1" applyFont="1" applyFill="1" applyAlignment="1">
      <alignment horizontal="center"/>
    </xf>
    <xf numFmtId="3" fontId="15" fillId="2" borderId="5" xfId="0" applyNumberFormat="1" applyFont="1" applyFill="1" applyAlignment="1">
      <alignment/>
    </xf>
    <xf numFmtId="185" fontId="4" fillId="2" borderId="5" xfId="0" applyNumberFormat="1" applyFont="1" applyFill="1" applyAlignment="1">
      <alignment/>
    </xf>
    <xf numFmtId="0" fontId="11" fillId="2" borderId="4" xfId="0" applyNumberFormat="1" applyFont="1" applyFill="1" applyAlignment="1">
      <alignment/>
    </xf>
    <xf numFmtId="0" fontId="16" fillId="2" borderId="5" xfId="0" applyNumberFormat="1" applyFont="1" applyFill="1" applyAlignment="1">
      <alignment horizontal="center"/>
    </xf>
    <xf numFmtId="0" fontId="20" fillId="2" borderId="5" xfId="0" applyNumberFormat="1" applyFont="1" applyFill="1" applyAlignment="1">
      <alignment/>
    </xf>
    <xf numFmtId="3" fontId="20" fillId="2" borderId="5" xfId="0" applyNumberFormat="1" applyFont="1" applyFill="1" applyAlignment="1">
      <alignment/>
    </xf>
    <xf numFmtId="0" fontId="11" fillId="2" borderId="3" xfId="0" applyNumberFormat="1" applyFont="1" applyFill="1" applyAlignment="1">
      <alignment/>
    </xf>
    <xf numFmtId="0" fontId="21" fillId="2" borderId="0" xfId="0" applyNumberFormat="1" applyFont="1" applyFill="1" applyAlignment="1">
      <alignment/>
    </xf>
    <xf numFmtId="0" fontId="12" fillId="2" borderId="0" xfId="0" applyNumberFormat="1" applyFont="1" applyFill="1" applyAlignment="1">
      <alignment horizontal="center"/>
    </xf>
    <xf numFmtId="0" fontId="0" fillId="0" borderId="2" xfId="0" applyNumberFormat="1" applyAlignment="1">
      <alignment/>
    </xf>
    <xf numFmtId="15" fontId="17" fillId="2" borderId="0" xfId="0" applyNumberFormat="1" applyFont="1" applyFill="1" applyAlignment="1">
      <alignment horizontal="center"/>
    </xf>
    <xf numFmtId="15" fontId="17" fillId="2" borderId="0" xfId="0" applyNumberFormat="1" applyFont="1" applyFill="1" applyAlignment="1">
      <alignment horizontal="center"/>
    </xf>
    <xf numFmtId="0" fontId="0" fillId="0" borderId="5" xfId="0" applyNumberFormat="1" applyAlignment="1">
      <alignment/>
    </xf>
    <xf numFmtId="184" fontId="4" fillId="2" borderId="5" xfId="0" applyNumberFormat="1" applyFont="1" applyFill="1" applyAlignment="1">
      <alignment horizontal="right"/>
    </xf>
    <xf numFmtId="3" fontId="12" fillId="2" borderId="5" xfId="0" applyNumberFormat="1" applyFont="1" applyFill="1" applyAlignment="1">
      <alignment/>
    </xf>
    <xf numFmtId="0" fontId="4" fillId="2" borderId="6" xfId="0" applyNumberFormat="1" applyFont="1" applyFill="1" applyBorder="1" applyAlignment="1">
      <alignment/>
    </xf>
    <xf numFmtId="0" fontId="12" fillId="2" borderId="7" xfId="0" applyNumberFormat="1" applyFont="1" applyFill="1" applyBorder="1" applyAlignment="1">
      <alignment/>
    </xf>
    <xf numFmtId="0" fontId="4" fillId="2" borderId="7" xfId="0" applyNumberFormat="1" applyFont="1" applyFill="1" applyBorder="1" applyAlignment="1">
      <alignment/>
    </xf>
    <xf numFmtId="0" fontId="4" fillId="2" borderId="7" xfId="0" applyNumberFormat="1" applyFont="1" applyFill="1" applyBorder="1" applyAlignment="1">
      <alignment horizontal="right"/>
    </xf>
    <xf numFmtId="0" fontId="4" fillId="2" borderId="8" xfId="0" applyNumberFormat="1" applyFont="1" applyFill="1" applyBorder="1" applyAlignment="1">
      <alignment/>
    </xf>
    <xf numFmtId="3" fontId="4" fillId="2" borderId="7" xfId="0" applyNumberFormat="1" applyFont="1" applyFill="1" applyBorder="1" applyAlignment="1">
      <alignment/>
    </xf>
    <xf numFmtId="0" fontId="17" fillId="2" borderId="6" xfId="0" applyNumberFormat="1" applyFont="1" applyFill="1" applyBorder="1" applyAlignment="1">
      <alignment/>
    </xf>
    <xf numFmtId="0" fontId="17" fillId="2" borderId="7" xfId="0" applyNumberFormat="1" applyFont="1" applyFill="1" applyBorder="1" applyAlignment="1">
      <alignment/>
    </xf>
    <xf numFmtId="0" fontId="4" fillId="2" borderId="7" xfId="0" applyNumberFormat="1" applyFont="1" applyFill="1" applyBorder="1" applyAlignment="1">
      <alignment horizontal="center"/>
    </xf>
    <xf numFmtId="4" fontId="4" fillId="2" borderId="7" xfId="0" applyNumberFormat="1" applyFont="1" applyFill="1" applyBorder="1" applyAlignment="1">
      <alignment horizontal="center"/>
    </xf>
    <xf numFmtId="0" fontId="4" fillId="2" borderId="7" xfId="0" applyNumberFormat="1" applyFont="1" applyFill="1" applyBorder="1" applyAlignment="1">
      <alignment/>
    </xf>
    <xf numFmtId="184" fontId="0" fillId="2" borderId="5" xfId="0" applyNumberFormat="1" applyFont="1" applyFill="1" applyAlignment="1">
      <alignment/>
    </xf>
    <xf numFmtId="0" fontId="0" fillId="2" borderId="5" xfId="0" applyNumberFormat="1" applyFont="1" applyFill="1" applyAlignment="1">
      <alignment/>
    </xf>
    <xf numFmtId="0" fontId="0" fillId="2" borderId="0" xfId="0" applyNumberFormat="1" applyFont="1" applyFill="1" applyAlignment="1">
      <alignment/>
    </xf>
    <xf numFmtId="0" fontId="22" fillId="2" borderId="0" xfId="0" applyNumberFormat="1" applyFont="1" applyFill="1" applyAlignment="1">
      <alignment/>
    </xf>
    <xf numFmtId="0" fontId="22" fillId="2" borderId="0" xfId="0" applyNumberFormat="1" applyFont="1" applyFill="1" applyAlignment="1">
      <alignment horizontal="center"/>
    </xf>
    <xf numFmtId="0" fontId="22" fillId="2" borderId="5" xfId="0" applyNumberFormat="1" applyFont="1" applyFill="1" applyAlignment="1">
      <alignment horizontal="center"/>
    </xf>
    <xf numFmtId="0" fontId="22" fillId="2" borderId="0" xfId="0" applyNumberFormat="1" applyFont="1" applyFill="1" applyAlignment="1">
      <alignment horizontal="center" wrapText="1"/>
    </xf>
    <xf numFmtId="0" fontId="22" fillId="2" borderId="0" xfId="0" applyNumberFormat="1" applyFont="1" applyFill="1" applyAlignment="1">
      <alignment horizontal="center" vertical="top" wrapText="1"/>
    </xf>
    <xf numFmtId="4" fontId="22" fillId="2" borderId="0" xfId="0" applyNumberFormat="1" applyFont="1" applyFill="1" applyAlignment="1">
      <alignment horizontal="center" vertical="top" wrapText="1"/>
    </xf>
    <xf numFmtId="0" fontId="23" fillId="2" borderId="5" xfId="0" applyNumberFormat="1" applyFont="1" applyFill="1" applyAlignment="1">
      <alignment/>
    </xf>
    <xf numFmtId="0" fontId="23" fillId="2" borderId="0" xfId="0" applyNumberFormat="1" applyFont="1" applyFill="1" applyAlignment="1">
      <alignment/>
    </xf>
    <xf numFmtId="0" fontId="22" fillId="2" borderId="0" xfId="0" applyNumberFormat="1" applyFont="1" applyFill="1" applyAlignment="1">
      <alignment horizontal="right"/>
    </xf>
    <xf numFmtId="4" fontId="22" fillId="2" borderId="0" xfId="0" applyNumberFormat="1" applyFont="1" applyFill="1" applyAlignment="1">
      <alignment horizontal="center"/>
    </xf>
    <xf numFmtId="0" fontId="22" fillId="2" borderId="5" xfId="0" applyNumberFormat="1" applyFont="1" applyFill="1" applyAlignment="1">
      <alignment/>
    </xf>
    <xf numFmtId="0" fontId="24" fillId="2" borderId="0" xfId="0" applyNumberFormat="1" applyFont="1" applyFill="1" applyAlignment="1">
      <alignment horizontal="center" wrapText="1"/>
    </xf>
    <xf numFmtId="0" fontId="24" fillId="2" borderId="3" xfId="0" applyNumberFormat="1" applyFont="1" applyFill="1" applyAlignment="1">
      <alignment/>
    </xf>
    <xf numFmtId="0" fontId="22" fillId="2" borderId="0" xfId="0" applyNumberFormat="1" applyFont="1" applyFill="1" applyAlignment="1">
      <alignment horizontal="left" vertical="top" wrapText="1"/>
    </xf>
    <xf numFmtId="0" fontId="22" fillId="2" borderId="0" xfId="0" applyNumberFormat="1" applyFont="1" applyFill="1" applyAlignment="1">
      <alignment horizontal="center" vertical="top" wrapText="1"/>
    </xf>
    <xf numFmtId="4" fontId="22" fillId="2" borderId="0" xfId="0" applyNumberFormat="1" applyFont="1" applyFill="1" applyAlignment="1">
      <alignment horizontal="center" vertical="top" wrapText="1"/>
    </xf>
    <xf numFmtId="0" fontId="22" fillId="2" borderId="0" xfId="0" applyNumberFormat="1" applyFont="1" applyFill="1" applyAlignment="1">
      <alignment/>
    </xf>
    <xf numFmtId="0" fontId="25" fillId="0" borderId="3" xfId="0" applyNumberFormat="1" applyFont="1" applyAlignment="1">
      <alignment/>
    </xf>
    <xf numFmtId="0" fontId="25" fillId="0" borderId="0" xfId="0" applyNumberFormat="1" applyFont="1" applyAlignment="1">
      <alignment/>
    </xf>
    <xf numFmtId="0" fontId="24" fillId="2" borderId="0" xfId="0" applyNumberFormat="1" applyFont="1" applyFill="1" applyAlignment="1">
      <alignment/>
    </xf>
    <xf numFmtId="186" fontId="13" fillId="2" borderId="0" xfId="0" applyNumberFormat="1" applyFont="1" applyFill="1" applyAlignment="1">
      <alignment horizontal="center"/>
    </xf>
    <xf numFmtId="3" fontId="0" fillId="0" borderId="0" xfId="0" applyNumberFormat="1" applyFont="1" applyAlignment="1">
      <alignment/>
    </xf>
    <xf numFmtId="1" fontId="4" fillId="2" borderId="5" xfId="0" applyNumberFormat="1" applyFont="1" applyFill="1" applyAlignment="1">
      <alignment/>
    </xf>
  </cellXfs>
  <cellStyles count="2">
    <cellStyle name="Normal" xfId="0"/>
    <cellStyle name="Hyperlink"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104775</xdr:rowOff>
    </xdr:from>
    <xdr:to>
      <xdr:col>1</xdr:col>
      <xdr:colOff>9525</xdr:colOff>
      <xdr:row>49</xdr:row>
      <xdr:rowOff>142875</xdr:rowOff>
    </xdr:to>
    <xdr:pic>
      <xdr:nvPicPr>
        <xdr:cNvPr id="1" name="Picture 1"/>
        <xdr:cNvPicPr preferRelativeResize="1">
          <a:picLocks noChangeAspect="1"/>
        </xdr:cNvPicPr>
      </xdr:nvPicPr>
      <xdr:blipFill>
        <a:blip r:link="rId1"/>
        <a:stretch>
          <a:fillRect/>
        </a:stretch>
      </xdr:blipFill>
      <xdr:spPr>
        <a:xfrm>
          <a:off x="9525" y="9763125"/>
          <a:ext cx="314325" cy="238125"/>
        </a:xfrm>
        <a:prstGeom prst="rect">
          <a:avLst/>
        </a:prstGeom>
        <a:noFill/>
        <a:ln w="9525" cmpd="sng">
          <a:noFill/>
        </a:ln>
      </xdr:spPr>
    </xdr:pic>
    <xdr:clientData/>
  </xdr:twoCellAnchor>
  <xdr:twoCellAnchor>
    <xdr:from>
      <xdr:col>0</xdr:col>
      <xdr:colOff>9525</xdr:colOff>
      <xdr:row>94</xdr:row>
      <xdr:rowOff>76200</xdr:rowOff>
    </xdr:from>
    <xdr:to>
      <xdr:col>1</xdr:col>
      <xdr:colOff>9525</xdr:colOff>
      <xdr:row>95</xdr:row>
      <xdr:rowOff>114300</xdr:rowOff>
    </xdr:to>
    <xdr:pic>
      <xdr:nvPicPr>
        <xdr:cNvPr id="2" name="Picture 2"/>
        <xdr:cNvPicPr preferRelativeResize="1">
          <a:picLocks noChangeAspect="1"/>
        </xdr:cNvPicPr>
      </xdr:nvPicPr>
      <xdr:blipFill>
        <a:blip r:link="rId1"/>
        <a:stretch>
          <a:fillRect/>
        </a:stretch>
      </xdr:blipFill>
      <xdr:spPr>
        <a:xfrm>
          <a:off x="9525" y="19345275"/>
          <a:ext cx="314325" cy="238125"/>
        </a:xfrm>
        <a:prstGeom prst="rect">
          <a:avLst/>
        </a:prstGeom>
        <a:noFill/>
        <a:ln w="9525" cmpd="sng">
          <a:noFill/>
        </a:ln>
      </xdr:spPr>
    </xdr:pic>
    <xdr:clientData/>
  </xdr:twoCellAnchor>
  <xdr:twoCellAnchor>
    <xdr:from>
      <xdr:col>0</xdr:col>
      <xdr:colOff>19050</xdr:colOff>
      <xdr:row>145</xdr:row>
      <xdr:rowOff>95250</xdr:rowOff>
    </xdr:from>
    <xdr:to>
      <xdr:col>1</xdr:col>
      <xdr:colOff>19050</xdr:colOff>
      <xdr:row>146</xdr:row>
      <xdr:rowOff>133350</xdr:rowOff>
    </xdr:to>
    <xdr:pic>
      <xdr:nvPicPr>
        <xdr:cNvPr id="3" name="Picture 3"/>
        <xdr:cNvPicPr preferRelativeResize="1">
          <a:picLocks noChangeAspect="1"/>
        </xdr:cNvPicPr>
      </xdr:nvPicPr>
      <xdr:blipFill>
        <a:blip r:link="rId1"/>
        <a:stretch>
          <a:fillRect/>
        </a:stretch>
      </xdr:blipFill>
      <xdr:spPr>
        <a:xfrm>
          <a:off x="19050" y="29575125"/>
          <a:ext cx="314325" cy="238125"/>
        </a:xfrm>
        <a:prstGeom prst="rect">
          <a:avLst/>
        </a:prstGeom>
        <a:noFill/>
        <a:ln w="9525" cmpd="sng">
          <a:noFill/>
        </a:ln>
      </xdr:spPr>
    </xdr:pic>
    <xdr:clientData/>
  </xdr:twoCellAnchor>
  <xdr:twoCellAnchor>
    <xdr:from>
      <xdr:col>0</xdr:col>
      <xdr:colOff>9525</xdr:colOff>
      <xdr:row>206</xdr:row>
      <xdr:rowOff>104775</xdr:rowOff>
    </xdr:from>
    <xdr:to>
      <xdr:col>1</xdr:col>
      <xdr:colOff>9525</xdr:colOff>
      <xdr:row>207</xdr:row>
      <xdr:rowOff>142875</xdr:rowOff>
    </xdr:to>
    <xdr:pic>
      <xdr:nvPicPr>
        <xdr:cNvPr id="4" name="Picture 4"/>
        <xdr:cNvPicPr preferRelativeResize="1">
          <a:picLocks noChangeAspect="1"/>
        </xdr:cNvPicPr>
      </xdr:nvPicPr>
      <xdr:blipFill>
        <a:blip r:link="rId1"/>
        <a:stretch>
          <a:fillRect/>
        </a:stretch>
      </xdr:blipFill>
      <xdr:spPr>
        <a:xfrm>
          <a:off x="9525" y="41795700"/>
          <a:ext cx="314325" cy="238125"/>
        </a:xfrm>
        <a:prstGeom prst="rect">
          <a:avLst/>
        </a:prstGeom>
        <a:noFill/>
        <a:ln w="9525" cmpd="sng">
          <a:noFill/>
        </a:ln>
      </xdr:spPr>
    </xdr:pic>
    <xdr:clientData/>
  </xdr:twoCellAnchor>
  <xdr:twoCellAnchor>
    <xdr:from>
      <xdr:col>12</xdr:col>
      <xdr:colOff>152400</xdr:colOff>
      <xdr:row>206</xdr:row>
      <xdr:rowOff>66675</xdr:rowOff>
    </xdr:from>
    <xdr:to>
      <xdr:col>12</xdr:col>
      <xdr:colOff>952500</xdr:colOff>
      <xdr:row>207</xdr:row>
      <xdr:rowOff>95250</xdr:rowOff>
    </xdr:to>
    <xdr:pic>
      <xdr:nvPicPr>
        <xdr:cNvPr id="5" name="Picture 5"/>
        <xdr:cNvPicPr preferRelativeResize="1">
          <a:picLocks noChangeAspect="1"/>
        </xdr:cNvPicPr>
      </xdr:nvPicPr>
      <xdr:blipFill>
        <a:blip r:link="rId2"/>
        <a:stretch>
          <a:fillRect/>
        </a:stretch>
      </xdr:blipFill>
      <xdr:spPr>
        <a:xfrm>
          <a:off x="15020925" y="41757600"/>
          <a:ext cx="800100" cy="228600"/>
        </a:xfrm>
        <a:prstGeom prst="rect">
          <a:avLst/>
        </a:prstGeom>
        <a:noFill/>
        <a:ln w="9525" cmpd="sng">
          <a:noFill/>
        </a:ln>
      </xdr:spPr>
    </xdr:pic>
    <xdr:clientData/>
  </xdr:twoCellAnchor>
  <xdr:twoCellAnchor>
    <xdr:from>
      <xdr:col>12</xdr:col>
      <xdr:colOff>123825</xdr:colOff>
      <xdr:row>145</xdr:row>
      <xdr:rowOff>76200</xdr:rowOff>
    </xdr:from>
    <xdr:to>
      <xdr:col>12</xdr:col>
      <xdr:colOff>923925</xdr:colOff>
      <xdr:row>146</xdr:row>
      <xdr:rowOff>104775</xdr:rowOff>
    </xdr:to>
    <xdr:pic>
      <xdr:nvPicPr>
        <xdr:cNvPr id="6" name="Picture 6"/>
        <xdr:cNvPicPr preferRelativeResize="1">
          <a:picLocks noChangeAspect="1"/>
        </xdr:cNvPicPr>
      </xdr:nvPicPr>
      <xdr:blipFill>
        <a:blip r:link="rId2"/>
        <a:stretch>
          <a:fillRect/>
        </a:stretch>
      </xdr:blipFill>
      <xdr:spPr>
        <a:xfrm>
          <a:off x="14992350" y="29556075"/>
          <a:ext cx="800100" cy="228600"/>
        </a:xfrm>
        <a:prstGeom prst="rect">
          <a:avLst/>
        </a:prstGeom>
        <a:noFill/>
        <a:ln w="9525" cmpd="sng">
          <a:noFill/>
        </a:ln>
      </xdr:spPr>
    </xdr:pic>
    <xdr:clientData/>
  </xdr:twoCellAnchor>
  <xdr:twoCellAnchor>
    <xdr:from>
      <xdr:col>12</xdr:col>
      <xdr:colOff>104775</xdr:colOff>
      <xdr:row>94</xdr:row>
      <xdr:rowOff>104775</xdr:rowOff>
    </xdr:from>
    <xdr:to>
      <xdr:col>12</xdr:col>
      <xdr:colOff>904875</xdr:colOff>
      <xdr:row>95</xdr:row>
      <xdr:rowOff>133350</xdr:rowOff>
    </xdr:to>
    <xdr:pic>
      <xdr:nvPicPr>
        <xdr:cNvPr id="7" name="Picture 7"/>
        <xdr:cNvPicPr preferRelativeResize="1">
          <a:picLocks noChangeAspect="1"/>
        </xdr:cNvPicPr>
      </xdr:nvPicPr>
      <xdr:blipFill>
        <a:blip r:link="rId2"/>
        <a:stretch>
          <a:fillRect/>
        </a:stretch>
      </xdr:blipFill>
      <xdr:spPr>
        <a:xfrm>
          <a:off x="14973300" y="19373850"/>
          <a:ext cx="800100" cy="228600"/>
        </a:xfrm>
        <a:prstGeom prst="rect">
          <a:avLst/>
        </a:prstGeom>
        <a:noFill/>
        <a:ln w="9525" cmpd="sng">
          <a:noFill/>
        </a:ln>
      </xdr:spPr>
    </xdr:pic>
    <xdr:clientData/>
  </xdr:twoCellAnchor>
  <xdr:twoCellAnchor>
    <xdr:from>
      <xdr:col>12</xdr:col>
      <xdr:colOff>133350</xdr:colOff>
      <xdr:row>48</xdr:row>
      <xdr:rowOff>85725</xdr:rowOff>
    </xdr:from>
    <xdr:to>
      <xdr:col>12</xdr:col>
      <xdr:colOff>933450</xdr:colOff>
      <xdr:row>49</xdr:row>
      <xdr:rowOff>114300</xdr:rowOff>
    </xdr:to>
    <xdr:pic>
      <xdr:nvPicPr>
        <xdr:cNvPr id="8" name="Picture 8"/>
        <xdr:cNvPicPr preferRelativeResize="1">
          <a:picLocks noChangeAspect="1"/>
        </xdr:cNvPicPr>
      </xdr:nvPicPr>
      <xdr:blipFill>
        <a:blip r:link="rId2"/>
        <a:stretch>
          <a:fillRect/>
        </a:stretch>
      </xdr:blipFill>
      <xdr:spPr>
        <a:xfrm>
          <a:off x="15001875" y="9744075"/>
          <a:ext cx="800100" cy="228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76200</xdr:rowOff>
    </xdr:from>
    <xdr:to>
      <xdr:col>1</xdr:col>
      <xdr:colOff>0</xdr:colOff>
      <xdr:row>49</xdr:row>
      <xdr:rowOff>114300</xdr:rowOff>
    </xdr:to>
    <xdr:pic>
      <xdr:nvPicPr>
        <xdr:cNvPr id="1" name="Picture 1"/>
        <xdr:cNvPicPr preferRelativeResize="1">
          <a:picLocks noChangeAspect="1"/>
        </xdr:cNvPicPr>
      </xdr:nvPicPr>
      <xdr:blipFill>
        <a:blip r:link="rId1"/>
        <a:stretch>
          <a:fillRect/>
        </a:stretch>
      </xdr:blipFill>
      <xdr:spPr>
        <a:xfrm>
          <a:off x="0" y="9734550"/>
          <a:ext cx="314325" cy="238125"/>
        </a:xfrm>
        <a:prstGeom prst="rect">
          <a:avLst/>
        </a:prstGeom>
        <a:noFill/>
        <a:ln w="9525" cmpd="sng">
          <a:noFill/>
        </a:ln>
      </xdr:spPr>
    </xdr:pic>
    <xdr:clientData/>
  </xdr:twoCellAnchor>
  <xdr:twoCellAnchor>
    <xdr:from>
      <xdr:col>0</xdr:col>
      <xdr:colOff>47625</xdr:colOff>
      <xdr:row>95</xdr:row>
      <xdr:rowOff>85725</xdr:rowOff>
    </xdr:from>
    <xdr:to>
      <xdr:col>1</xdr:col>
      <xdr:colOff>47625</xdr:colOff>
      <xdr:row>96</xdr:row>
      <xdr:rowOff>123825</xdr:rowOff>
    </xdr:to>
    <xdr:pic>
      <xdr:nvPicPr>
        <xdr:cNvPr id="2" name="Picture 2"/>
        <xdr:cNvPicPr preferRelativeResize="1">
          <a:picLocks noChangeAspect="1"/>
        </xdr:cNvPicPr>
      </xdr:nvPicPr>
      <xdr:blipFill>
        <a:blip r:link="rId1"/>
        <a:stretch>
          <a:fillRect/>
        </a:stretch>
      </xdr:blipFill>
      <xdr:spPr>
        <a:xfrm>
          <a:off x="47625" y="19554825"/>
          <a:ext cx="314325" cy="238125"/>
        </a:xfrm>
        <a:prstGeom prst="rect">
          <a:avLst/>
        </a:prstGeom>
        <a:noFill/>
        <a:ln w="9525" cmpd="sng">
          <a:noFill/>
        </a:ln>
      </xdr:spPr>
    </xdr:pic>
    <xdr:clientData/>
  </xdr:twoCellAnchor>
  <xdr:twoCellAnchor>
    <xdr:from>
      <xdr:col>0</xdr:col>
      <xdr:colOff>0</xdr:colOff>
      <xdr:row>146</xdr:row>
      <xdr:rowOff>95250</xdr:rowOff>
    </xdr:from>
    <xdr:to>
      <xdr:col>1</xdr:col>
      <xdr:colOff>0</xdr:colOff>
      <xdr:row>147</xdr:row>
      <xdr:rowOff>133350</xdr:rowOff>
    </xdr:to>
    <xdr:pic>
      <xdr:nvPicPr>
        <xdr:cNvPr id="3" name="Picture 3"/>
        <xdr:cNvPicPr preferRelativeResize="1">
          <a:picLocks noChangeAspect="1"/>
        </xdr:cNvPicPr>
      </xdr:nvPicPr>
      <xdr:blipFill>
        <a:blip r:link="rId1"/>
        <a:stretch>
          <a:fillRect/>
        </a:stretch>
      </xdr:blipFill>
      <xdr:spPr>
        <a:xfrm>
          <a:off x="0" y="29775150"/>
          <a:ext cx="314325" cy="238125"/>
        </a:xfrm>
        <a:prstGeom prst="rect">
          <a:avLst/>
        </a:prstGeom>
        <a:noFill/>
        <a:ln w="9525" cmpd="sng">
          <a:noFill/>
        </a:ln>
      </xdr:spPr>
    </xdr:pic>
    <xdr:clientData/>
  </xdr:twoCellAnchor>
  <xdr:twoCellAnchor>
    <xdr:from>
      <xdr:col>0</xdr:col>
      <xdr:colOff>0</xdr:colOff>
      <xdr:row>207</xdr:row>
      <xdr:rowOff>57150</xdr:rowOff>
    </xdr:from>
    <xdr:to>
      <xdr:col>1</xdr:col>
      <xdr:colOff>0</xdr:colOff>
      <xdr:row>208</xdr:row>
      <xdr:rowOff>95250</xdr:rowOff>
    </xdr:to>
    <xdr:pic>
      <xdr:nvPicPr>
        <xdr:cNvPr id="4" name="Picture 4"/>
        <xdr:cNvPicPr preferRelativeResize="1">
          <a:picLocks noChangeAspect="1"/>
        </xdr:cNvPicPr>
      </xdr:nvPicPr>
      <xdr:blipFill>
        <a:blip r:link="rId1"/>
        <a:stretch>
          <a:fillRect/>
        </a:stretch>
      </xdr:blipFill>
      <xdr:spPr>
        <a:xfrm>
          <a:off x="0" y="41948100"/>
          <a:ext cx="314325" cy="238125"/>
        </a:xfrm>
        <a:prstGeom prst="rect">
          <a:avLst/>
        </a:prstGeom>
        <a:noFill/>
        <a:ln w="9525" cmpd="sng">
          <a:noFill/>
        </a:ln>
      </xdr:spPr>
    </xdr:pic>
    <xdr:clientData/>
  </xdr:twoCellAnchor>
  <xdr:twoCellAnchor>
    <xdr:from>
      <xdr:col>12</xdr:col>
      <xdr:colOff>66675</xdr:colOff>
      <xdr:row>207</xdr:row>
      <xdr:rowOff>76200</xdr:rowOff>
    </xdr:from>
    <xdr:to>
      <xdr:col>12</xdr:col>
      <xdr:colOff>866775</xdr:colOff>
      <xdr:row>208</xdr:row>
      <xdr:rowOff>104775</xdr:rowOff>
    </xdr:to>
    <xdr:pic>
      <xdr:nvPicPr>
        <xdr:cNvPr id="5" name="Picture 5"/>
        <xdr:cNvPicPr preferRelativeResize="1">
          <a:picLocks noChangeAspect="1"/>
        </xdr:cNvPicPr>
      </xdr:nvPicPr>
      <xdr:blipFill>
        <a:blip r:link="rId2"/>
        <a:stretch>
          <a:fillRect/>
        </a:stretch>
      </xdr:blipFill>
      <xdr:spPr>
        <a:xfrm>
          <a:off x="15735300" y="41967150"/>
          <a:ext cx="800100" cy="228600"/>
        </a:xfrm>
        <a:prstGeom prst="rect">
          <a:avLst/>
        </a:prstGeom>
        <a:noFill/>
        <a:ln w="9525" cmpd="sng">
          <a:noFill/>
        </a:ln>
      </xdr:spPr>
    </xdr:pic>
    <xdr:clientData/>
  </xdr:twoCellAnchor>
  <xdr:twoCellAnchor>
    <xdr:from>
      <xdr:col>12</xdr:col>
      <xdr:colOff>85725</xdr:colOff>
      <xdr:row>146</xdr:row>
      <xdr:rowOff>66675</xdr:rowOff>
    </xdr:from>
    <xdr:to>
      <xdr:col>12</xdr:col>
      <xdr:colOff>885825</xdr:colOff>
      <xdr:row>147</xdr:row>
      <xdr:rowOff>95250</xdr:rowOff>
    </xdr:to>
    <xdr:pic>
      <xdr:nvPicPr>
        <xdr:cNvPr id="6" name="Picture 6"/>
        <xdr:cNvPicPr preferRelativeResize="1">
          <a:picLocks noChangeAspect="1"/>
        </xdr:cNvPicPr>
      </xdr:nvPicPr>
      <xdr:blipFill>
        <a:blip r:link="rId2"/>
        <a:stretch>
          <a:fillRect/>
        </a:stretch>
      </xdr:blipFill>
      <xdr:spPr>
        <a:xfrm>
          <a:off x="15754350" y="29746575"/>
          <a:ext cx="800100" cy="228600"/>
        </a:xfrm>
        <a:prstGeom prst="rect">
          <a:avLst/>
        </a:prstGeom>
        <a:noFill/>
        <a:ln w="9525" cmpd="sng">
          <a:noFill/>
        </a:ln>
      </xdr:spPr>
    </xdr:pic>
    <xdr:clientData/>
  </xdr:twoCellAnchor>
  <xdr:twoCellAnchor>
    <xdr:from>
      <xdr:col>12</xdr:col>
      <xdr:colOff>142875</xdr:colOff>
      <xdr:row>95</xdr:row>
      <xdr:rowOff>76200</xdr:rowOff>
    </xdr:from>
    <xdr:to>
      <xdr:col>12</xdr:col>
      <xdr:colOff>942975</xdr:colOff>
      <xdr:row>96</xdr:row>
      <xdr:rowOff>104775</xdr:rowOff>
    </xdr:to>
    <xdr:pic>
      <xdr:nvPicPr>
        <xdr:cNvPr id="7" name="Picture 7"/>
        <xdr:cNvPicPr preferRelativeResize="1">
          <a:picLocks noChangeAspect="1"/>
        </xdr:cNvPicPr>
      </xdr:nvPicPr>
      <xdr:blipFill>
        <a:blip r:link="rId2"/>
        <a:stretch>
          <a:fillRect/>
        </a:stretch>
      </xdr:blipFill>
      <xdr:spPr>
        <a:xfrm>
          <a:off x="15811500" y="19545300"/>
          <a:ext cx="800100" cy="228600"/>
        </a:xfrm>
        <a:prstGeom prst="rect">
          <a:avLst/>
        </a:prstGeom>
        <a:noFill/>
        <a:ln w="9525" cmpd="sng">
          <a:noFill/>
        </a:ln>
      </xdr:spPr>
    </xdr:pic>
    <xdr:clientData/>
  </xdr:twoCellAnchor>
  <xdr:twoCellAnchor>
    <xdr:from>
      <xdr:col>12</xdr:col>
      <xdr:colOff>66675</xdr:colOff>
      <xdr:row>48</xdr:row>
      <xdr:rowOff>57150</xdr:rowOff>
    </xdr:from>
    <xdr:to>
      <xdr:col>12</xdr:col>
      <xdr:colOff>866775</xdr:colOff>
      <xdr:row>49</xdr:row>
      <xdr:rowOff>85725</xdr:rowOff>
    </xdr:to>
    <xdr:pic>
      <xdr:nvPicPr>
        <xdr:cNvPr id="8" name="Picture 8"/>
        <xdr:cNvPicPr preferRelativeResize="1">
          <a:picLocks noChangeAspect="1"/>
        </xdr:cNvPicPr>
      </xdr:nvPicPr>
      <xdr:blipFill>
        <a:blip r:link="rId2"/>
        <a:stretch>
          <a:fillRect/>
        </a:stretch>
      </xdr:blipFill>
      <xdr:spPr>
        <a:xfrm>
          <a:off x="15735300" y="9715500"/>
          <a:ext cx="800100" cy="228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76200</xdr:rowOff>
    </xdr:from>
    <xdr:to>
      <xdr:col>1</xdr:col>
      <xdr:colOff>0</xdr:colOff>
      <xdr:row>49</xdr:row>
      <xdr:rowOff>114300</xdr:rowOff>
    </xdr:to>
    <xdr:pic>
      <xdr:nvPicPr>
        <xdr:cNvPr id="1" name="Picture 1"/>
        <xdr:cNvPicPr preferRelativeResize="1">
          <a:picLocks noChangeAspect="1"/>
        </xdr:cNvPicPr>
      </xdr:nvPicPr>
      <xdr:blipFill>
        <a:blip r:link="rId1"/>
        <a:stretch>
          <a:fillRect/>
        </a:stretch>
      </xdr:blipFill>
      <xdr:spPr>
        <a:xfrm>
          <a:off x="0" y="9734550"/>
          <a:ext cx="314325" cy="238125"/>
        </a:xfrm>
        <a:prstGeom prst="rect">
          <a:avLst/>
        </a:prstGeom>
        <a:noFill/>
        <a:ln w="9525" cmpd="sng">
          <a:noFill/>
        </a:ln>
      </xdr:spPr>
    </xdr:pic>
    <xdr:clientData/>
  </xdr:twoCellAnchor>
  <xdr:twoCellAnchor>
    <xdr:from>
      <xdr:col>0</xdr:col>
      <xdr:colOff>47625</xdr:colOff>
      <xdr:row>95</xdr:row>
      <xdr:rowOff>85725</xdr:rowOff>
    </xdr:from>
    <xdr:to>
      <xdr:col>1</xdr:col>
      <xdr:colOff>47625</xdr:colOff>
      <xdr:row>96</xdr:row>
      <xdr:rowOff>123825</xdr:rowOff>
    </xdr:to>
    <xdr:pic>
      <xdr:nvPicPr>
        <xdr:cNvPr id="2" name="Picture 2"/>
        <xdr:cNvPicPr preferRelativeResize="1">
          <a:picLocks noChangeAspect="1"/>
        </xdr:cNvPicPr>
      </xdr:nvPicPr>
      <xdr:blipFill>
        <a:blip r:link="rId1"/>
        <a:stretch>
          <a:fillRect/>
        </a:stretch>
      </xdr:blipFill>
      <xdr:spPr>
        <a:xfrm>
          <a:off x="47625" y="19554825"/>
          <a:ext cx="314325" cy="238125"/>
        </a:xfrm>
        <a:prstGeom prst="rect">
          <a:avLst/>
        </a:prstGeom>
        <a:noFill/>
        <a:ln w="9525" cmpd="sng">
          <a:noFill/>
        </a:ln>
      </xdr:spPr>
    </xdr:pic>
    <xdr:clientData/>
  </xdr:twoCellAnchor>
  <xdr:twoCellAnchor>
    <xdr:from>
      <xdr:col>0</xdr:col>
      <xdr:colOff>0</xdr:colOff>
      <xdr:row>146</xdr:row>
      <xdr:rowOff>95250</xdr:rowOff>
    </xdr:from>
    <xdr:to>
      <xdr:col>1</xdr:col>
      <xdr:colOff>0</xdr:colOff>
      <xdr:row>147</xdr:row>
      <xdr:rowOff>133350</xdr:rowOff>
    </xdr:to>
    <xdr:pic>
      <xdr:nvPicPr>
        <xdr:cNvPr id="3" name="Picture 3"/>
        <xdr:cNvPicPr preferRelativeResize="1">
          <a:picLocks noChangeAspect="1"/>
        </xdr:cNvPicPr>
      </xdr:nvPicPr>
      <xdr:blipFill>
        <a:blip r:link="rId1"/>
        <a:stretch>
          <a:fillRect/>
        </a:stretch>
      </xdr:blipFill>
      <xdr:spPr>
        <a:xfrm>
          <a:off x="0" y="29775150"/>
          <a:ext cx="314325" cy="238125"/>
        </a:xfrm>
        <a:prstGeom prst="rect">
          <a:avLst/>
        </a:prstGeom>
        <a:noFill/>
        <a:ln w="9525" cmpd="sng">
          <a:noFill/>
        </a:ln>
      </xdr:spPr>
    </xdr:pic>
    <xdr:clientData/>
  </xdr:twoCellAnchor>
  <xdr:twoCellAnchor>
    <xdr:from>
      <xdr:col>0</xdr:col>
      <xdr:colOff>0</xdr:colOff>
      <xdr:row>207</xdr:row>
      <xdr:rowOff>57150</xdr:rowOff>
    </xdr:from>
    <xdr:to>
      <xdr:col>1</xdr:col>
      <xdr:colOff>0</xdr:colOff>
      <xdr:row>208</xdr:row>
      <xdr:rowOff>95250</xdr:rowOff>
    </xdr:to>
    <xdr:pic>
      <xdr:nvPicPr>
        <xdr:cNvPr id="4" name="Picture 4"/>
        <xdr:cNvPicPr preferRelativeResize="1">
          <a:picLocks noChangeAspect="1"/>
        </xdr:cNvPicPr>
      </xdr:nvPicPr>
      <xdr:blipFill>
        <a:blip r:link="rId1"/>
        <a:stretch>
          <a:fillRect/>
        </a:stretch>
      </xdr:blipFill>
      <xdr:spPr>
        <a:xfrm>
          <a:off x="0" y="41948100"/>
          <a:ext cx="314325" cy="238125"/>
        </a:xfrm>
        <a:prstGeom prst="rect">
          <a:avLst/>
        </a:prstGeom>
        <a:noFill/>
        <a:ln w="9525" cmpd="sng">
          <a:noFill/>
        </a:ln>
      </xdr:spPr>
    </xdr:pic>
    <xdr:clientData/>
  </xdr:twoCellAnchor>
  <xdr:twoCellAnchor>
    <xdr:from>
      <xdr:col>12</xdr:col>
      <xdr:colOff>66675</xdr:colOff>
      <xdr:row>207</xdr:row>
      <xdr:rowOff>76200</xdr:rowOff>
    </xdr:from>
    <xdr:to>
      <xdr:col>12</xdr:col>
      <xdr:colOff>866775</xdr:colOff>
      <xdr:row>208</xdr:row>
      <xdr:rowOff>104775</xdr:rowOff>
    </xdr:to>
    <xdr:pic>
      <xdr:nvPicPr>
        <xdr:cNvPr id="5" name="Picture 5"/>
        <xdr:cNvPicPr preferRelativeResize="1">
          <a:picLocks noChangeAspect="1"/>
        </xdr:cNvPicPr>
      </xdr:nvPicPr>
      <xdr:blipFill>
        <a:blip r:link="rId2"/>
        <a:stretch>
          <a:fillRect/>
        </a:stretch>
      </xdr:blipFill>
      <xdr:spPr>
        <a:xfrm>
          <a:off x="15735300" y="41967150"/>
          <a:ext cx="800100" cy="228600"/>
        </a:xfrm>
        <a:prstGeom prst="rect">
          <a:avLst/>
        </a:prstGeom>
        <a:noFill/>
        <a:ln w="9525" cmpd="sng">
          <a:noFill/>
        </a:ln>
      </xdr:spPr>
    </xdr:pic>
    <xdr:clientData/>
  </xdr:twoCellAnchor>
  <xdr:twoCellAnchor>
    <xdr:from>
      <xdr:col>12</xdr:col>
      <xdr:colOff>85725</xdr:colOff>
      <xdr:row>146</xdr:row>
      <xdr:rowOff>66675</xdr:rowOff>
    </xdr:from>
    <xdr:to>
      <xdr:col>12</xdr:col>
      <xdr:colOff>885825</xdr:colOff>
      <xdr:row>147</xdr:row>
      <xdr:rowOff>95250</xdr:rowOff>
    </xdr:to>
    <xdr:pic>
      <xdr:nvPicPr>
        <xdr:cNvPr id="6" name="Picture 6"/>
        <xdr:cNvPicPr preferRelativeResize="1">
          <a:picLocks noChangeAspect="1"/>
        </xdr:cNvPicPr>
      </xdr:nvPicPr>
      <xdr:blipFill>
        <a:blip r:link="rId2"/>
        <a:stretch>
          <a:fillRect/>
        </a:stretch>
      </xdr:blipFill>
      <xdr:spPr>
        <a:xfrm>
          <a:off x="15754350" y="29746575"/>
          <a:ext cx="800100" cy="228600"/>
        </a:xfrm>
        <a:prstGeom prst="rect">
          <a:avLst/>
        </a:prstGeom>
        <a:noFill/>
        <a:ln w="9525" cmpd="sng">
          <a:noFill/>
        </a:ln>
      </xdr:spPr>
    </xdr:pic>
    <xdr:clientData/>
  </xdr:twoCellAnchor>
  <xdr:twoCellAnchor>
    <xdr:from>
      <xdr:col>12</xdr:col>
      <xdr:colOff>142875</xdr:colOff>
      <xdr:row>95</xdr:row>
      <xdr:rowOff>76200</xdr:rowOff>
    </xdr:from>
    <xdr:to>
      <xdr:col>12</xdr:col>
      <xdr:colOff>942975</xdr:colOff>
      <xdr:row>96</xdr:row>
      <xdr:rowOff>104775</xdr:rowOff>
    </xdr:to>
    <xdr:pic>
      <xdr:nvPicPr>
        <xdr:cNvPr id="7" name="Picture 7"/>
        <xdr:cNvPicPr preferRelativeResize="1">
          <a:picLocks noChangeAspect="1"/>
        </xdr:cNvPicPr>
      </xdr:nvPicPr>
      <xdr:blipFill>
        <a:blip r:link="rId2"/>
        <a:stretch>
          <a:fillRect/>
        </a:stretch>
      </xdr:blipFill>
      <xdr:spPr>
        <a:xfrm>
          <a:off x="15811500" y="19545300"/>
          <a:ext cx="800100" cy="228600"/>
        </a:xfrm>
        <a:prstGeom prst="rect">
          <a:avLst/>
        </a:prstGeom>
        <a:noFill/>
        <a:ln w="9525" cmpd="sng">
          <a:noFill/>
        </a:ln>
      </xdr:spPr>
    </xdr:pic>
    <xdr:clientData/>
  </xdr:twoCellAnchor>
  <xdr:twoCellAnchor>
    <xdr:from>
      <xdr:col>12</xdr:col>
      <xdr:colOff>66675</xdr:colOff>
      <xdr:row>48</xdr:row>
      <xdr:rowOff>57150</xdr:rowOff>
    </xdr:from>
    <xdr:to>
      <xdr:col>12</xdr:col>
      <xdr:colOff>866775</xdr:colOff>
      <xdr:row>49</xdr:row>
      <xdr:rowOff>85725</xdr:rowOff>
    </xdr:to>
    <xdr:pic>
      <xdr:nvPicPr>
        <xdr:cNvPr id="8" name="Picture 8"/>
        <xdr:cNvPicPr preferRelativeResize="1">
          <a:picLocks noChangeAspect="1"/>
        </xdr:cNvPicPr>
      </xdr:nvPicPr>
      <xdr:blipFill>
        <a:blip r:link="rId2"/>
        <a:stretch>
          <a:fillRect/>
        </a:stretch>
      </xdr:blipFill>
      <xdr:spPr>
        <a:xfrm>
          <a:off x="15735300" y="9715500"/>
          <a:ext cx="800100" cy="228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76200</xdr:rowOff>
    </xdr:from>
    <xdr:to>
      <xdr:col>1</xdr:col>
      <xdr:colOff>0</xdr:colOff>
      <xdr:row>49</xdr:row>
      <xdr:rowOff>114300</xdr:rowOff>
    </xdr:to>
    <xdr:pic>
      <xdr:nvPicPr>
        <xdr:cNvPr id="1" name="Picture 1"/>
        <xdr:cNvPicPr preferRelativeResize="1">
          <a:picLocks noChangeAspect="1"/>
        </xdr:cNvPicPr>
      </xdr:nvPicPr>
      <xdr:blipFill>
        <a:blip r:link="rId1"/>
        <a:stretch>
          <a:fillRect/>
        </a:stretch>
      </xdr:blipFill>
      <xdr:spPr>
        <a:xfrm>
          <a:off x="0" y="9734550"/>
          <a:ext cx="314325" cy="238125"/>
        </a:xfrm>
        <a:prstGeom prst="rect">
          <a:avLst/>
        </a:prstGeom>
        <a:noFill/>
        <a:ln w="9525" cmpd="sng">
          <a:noFill/>
        </a:ln>
      </xdr:spPr>
    </xdr:pic>
    <xdr:clientData/>
  </xdr:twoCellAnchor>
  <xdr:twoCellAnchor>
    <xdr:from>
      <xdr:col>0</xdr:col>
      <xdr:colOff>47625</xdr:colOff>
      <xdr:row>95</xdr:row>
      <xdr:rowOff>85725</xdr:rowOff>
    </xdr:from>
    <xdr:to>
      <xdr:col>1</xdr:col>
      <xdr:colOff>47625</xdr:colOff>
      <xdr:row>96</xdr:row>
      <xdr:rowOff>123825</xdr:rowOff>
    </xdr:to>
    <xdr:pic>
      <xdr:nvPicPr>
        <xdr:cNvPr id="2" name="Picture 2"/>
        <xdr:cNvPicPr preferRelativeResize="1">
          <a:picLocks noChangeAspect="1"/>
        </xdr:cNvPicPr>
      </xdr:nvPicPr>
      <xdr:blipFill>
        <a:blip r:link="rId1"/>
        <a:stretch>
          <a:fillRect/>
        </a:stretch>
      </xdr:blipFill>
      <xdr:spPr>
        <a:xfrm>
          <a:off x="47625" y="19554825"/>
          <a:ext cx="314325" cy="238125"/>
        </a:xfrm>
        <a:prstGeom prst="rect">
          <a:avLst/>
        </a:prstGeom>
        <a:noFill/>
        <a:ln w="9525" cmpd="sng">
          <a:noFill/>
        </a:ln>
      </xdr:spPr>
    </xdr:pic>
    <xdr:clientData/>
  </xdr:twoCellAnchor>
  <xdr:twoCellAnchor>
    <xdr:from>
      <xdr:col>0</xdr:col>
      <xdr:colOff>0</xdr:colOff>
      <xdr:row>146</xdr:row>
      <xdr:rowOff>95250</xdr:rowOff>
    </xdr:from>
    <xdr:to>
      <xdr:col>1</xdr:col>
      <xdr:colOff>0</xdr:colOff>
      <xdr:row>147</xdr:row>
      <xdr:rowOff>133350</xdr:rowOff>
    </xdr:to>
    <xdr:pic>
      <xdr:nvPicPr>
        <xdr:cNvPr id="3" name="Picture 3"/>
        <xdr:cNvPicPr preferRelativeResize="1">
          <a:picLocks noChangeAspect="1"/>
        </xdr:cNvPicPr>
      </xdr:nvPicPr>
      <xdr:blipFill>
        <a:blip r:link="rId1"/>
        <a:stretch>
          <a:fillRect/>
        </a:stretch>
      </xdr:blipFill>
      <xdr:spPr>
        <a:xfrm>
          <a:off x="0" y="29775150"/>
          <a:ext cx="314325" cy="238125"/>
        </a:xfrm>
        <a:prstGeom prst="rect">
          <a:avLst/>
        </a:prstGeom>
        <a:noFill/>
        <a:ln w="9525" cmpd="sng">
          <a:noFill/>
        </a:ln>
      </xdr:spPr>
    </xdr:pic>
    <xdr:clientData/>
  </xdr:twoCellAnchor>
  <xdr:twoCellAnchor>
    <xdr:from>
      <xdr:col>0</xdr:col>
      <xdr:colOff>0</xdr:colOff>
      <xdr:row>207</xdr:row>
      <xdr:rowOff>57150</xdr:rowOff>
    </xdr:from>
    <xdr:to>
      <xdr:col>1</xdr:col>
      <xdr:colOff>0</xdr:colOff>
      <xdr:row>208</xdr:row>
      <xdr:rowOff>95250</xdr:rowOff>
    </xdr:to>
    <xdr:pic>
      <xdr:nvPicPr>
        <xdr:cNvPr id="4" name="Picture 4"/>
        <xdr:cNvPicPr preferRelativeResize="1">
          <a:picLocks noChangeAspect="1"/>
        </xdr:cNvPicPr>
      </xdr:nvPicPr>
      <xdr:blipFill>
        <a:blip r:link="rId1"/>
        <a:stretch>
          <a:fillRect/>
        </a:stretch>
      </xdr:blipFill>
      <xdr:spPr>
        <a:xfrm>
          <a:off x="0" y="41948100"/>
          <a:ext cx="314325" cy="238125"/>
        </a:xfrm>
        <a:prstGeom prst="rect">
          <a:avLst/>
        </a:prstGeom>
        <a:noFill/>
        <a:ln w="9525" cmpd="sng">
          <a:noFill/>
        </a:ln>
      </xdr:spPr>
    </xdr:pic>
    <xdr:clientData/>
  </xdr:twoCellAnchor>
  <xdr:twoCellAnchor>
    <xdr:from>
      <xdr:col>12</xdr:col>
      <xdr:colOff>66675</xdr:colOff>
      <xdr:row>207</xdr:row>
      <xdr:rowOff>76200</xdr:rowOff>
    </xdr:from>
    <xdr:to>
      <xdr:col>12</xdr:col>
      <xdr:colOff>866775</xdr:colOff>
      <xdr:row>208</xdr:row>
      <xdr:rowOff>104775</xdr:rowOff>
    </xdr:to>
    <xdr:pic>
      <xdr:nvPicPr>
        <xdr:cNvPr id="5" name="Picture 5"/>
        <xdr:cNvPicPr preferRelativeResize="1">
          <a:picLocks noChangeAspect="1"/>
        </xdr:cNvPicPr>
      </xdr:nvPicPr>
      <xdr:blipFill>
        <a:blip r:link="rId2"/>
        <a:stretch>
          <a:fillRect/>
        </a:stretch>
      </xdr:blipFill>
      <xdr:spPr>
        <a:xfrm>
          <a:off x="15925800" y="41967150"/>
          <a:ext cx="800100" cy="228600"/>
        </a:xfrm>
        <a:prstGeom prst="rect">
          <a:avLst/>
        </a:prstGeom>
        <a:noFill/>
        <a:ln w="9525" cmpd="sng">
          <a:noFill/>
        </a:ln>
      </xdr:spPr>
    </xdr:pic>
    <xdr:clientData/>
  </xdr:twoCellAnchor>
  <xdr:twoCellAnchor>
    <xdr:from>
      <xdr:col>12</xdr:col>
      <xdr:colOff>85725</xdr:colOff>
      <xdr:row>146</xdr:row>
      <xdr:rowOff>66675</xdr:rowOff>
    </xdr:from>
    <xdr:to>
      <xdr:col>12</xdr:col>
      <xdr:colOff>885825</xdr:colOff>
      <xdr:row>147</xdr:row>
      <xdr:rowOff>95250</xdr:rowOff>
    </xdr:to>
    <xdr:pic>
      <xdr:nvPicPr>
        <xdr:cNvPr id="6" name="Picture 6"/>
        <xdr:cNvPicPr preferRelativeResize="1">
          <a:picLocks noChangeAspect="1"/>
        </xdr:cNvPicPr>
      </xdr:nvPicPr>
      <xdr:blipFill>
        <a:blip r:link="rId2"/>
        <a:stretch>
          <a:fillRect/>
        </a:stretch>
      </xdr:blipFill>
      <xdr:spPr>
        <a:xfrm>
          <a:off x="15944850" y="29746575"/>
          <a:ext cx="800100" cy="228600"/>
        </a:xfrm>
        <a:prstGeom prst="rect">
          <a:avLst/>
        </a:prstGeom>
        <a:noFill/>
        <a:ln w="9525" cmpd="sng">
          <a:noFill/>
        </a:ln>
      </xdr:spPr>
    </xdr:pic>
    <xdr:clientData/>
  </xdr:twoCellAnchor>
  <xdr:twoCellAnchor>
    <xdr:from>
      <xdr:col>12</xdr:col>
      <xdr:colOff>142875</xdr:colOff>
      <xdr:row>95</xdr:row>
      <xdr:rowOff>76200</xdr:rowOff>
    </xdr:from>
    <xdr:to>
      <xdr:col>12</xdr:col>
      <xdr:colOff>942975</xdr:colOff>
      <xdr:row>96</xdr:row>
      <xdr:rowOff>104775</xdr:rowOff>
    </xdr:to>
    <xdr:pic>
      <xdr:nvPicPr>
        <xdr:cNvPr id="7" name="Picture 7"/>
        <xdr:cNvPicPr preferRelativeResize="1">
          <a:picLocks noChangeAspect="1"/>
        </xdr:cNvPicPr>
      </xdr:nvPicPr>
      <xdr:blipFill>
        <a:blip r:link="rId2"/>
        <a:stretch>
          <a:fillRect/>
        </a:stretch>
      </xdr:blipFill>
      <xdr:spPr>
        <a:xfrm>
          <a:off x="16002000" y="19545300"/>
          <a:ext cx="800100" cy="228600"/>
        </a:xfrm>
        <a:prstGeom prst="rect">
          <a:avLst/>
        </a:prstGeom>
        <a:noFill/>
        <a:ln w="9525" cmpd="sng">
          <a:noFill/>
        </a:ln>
      </xdr:spPr>
    </xdr:pic>
    <xdr:clientData/>
  </xdr:twoCellAnchor>
  <xdr:twoCellAnchor>
    <xdr:from>
      <xdr:col>12</xdr:col>
      <xdr:colOff>66675</xdr:colOff>
      <xdr:row>48</xdr:row>
      <xdr:rowOff>57150</xdr:rowOff>
    </xdr:from>
    <xdr:to>
      <xdr:col>12</xdr:col>
      <xdr:colOff>866775</xdr:colOff>
      <xdr:row>49</xdr:row>
      <xdr:rowOff>85725</xdr:rowOff>
    </xdr:to>
    <xdr:pic>
      <xdr:nvPicPr>
        <xdr:cNvPr id="8" name="Picture 8"/>
        <xdr:cNvPicPr preferRelativeResize="1">
          <a:picLocks noChangeAspect="1"/>
        </xdr:cNvPicPr>
      </xdr:nvPicPr>
      <xdr:blipFill>
        <a:blip r:link="rId2"/>
        <a:stretch>
          <a:fillRect/>
        </a:stretch>
      </xdr:blipFill>
      <xdr:spPr>
        <a:xfrm>
          <a:off x="15925800" y="9715500"/>
          <a:ext cx="800100" cy="228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76200</xdr:rowOff>
    </xdr:from>
    <xdr:to>
      <xdr:col>1</xdr:col>
      <xdr:colOff>0</xdr:colOff>
      <xdr:row>49</xdr:row>
      <xdr:rowOff>114300</xdr:rowOff>
    </xdr:to>
    <xdr:pic>
      <xdr:nvPicPr>
        <xdr:cNvPr id="1" name="Picture 1"/>
        <xdr:cNvPicPr preferRelativeResize="1">
          <a:picLocks noChangeAspect="1"/>
        </xdr:cNvPicPr>
      </xdr:nvPicPr>
      <xdr:blipFill>
        <a:blip r:link="rId1"/>
        <a:stretch>
          <a:fillRect/>
        </a:stretch>
      </xdr:blipFill>
      <xdr:spPr>
        <a:xfrm>
          <a:off x="0" y="9734550"/>
          <a:ext cx="314325" cy="238125"/>
        </a:xfrm>
        <a:prstGeom prst="rect">
          <a:avLst/>
        </a:prstGeom>
        <a:noFill/>
        <a:ln w="9525" cmpd="sng">
          <a:noFill/>
        </a:ln>
      </xdr:spPr>
    </xdr:pic>
    <xdr:clientData/>
  </xdr:twoCellAnchor>
  <xdr:twoCellAnchor>
    <xdr:from>
      <xdr:col>0</xdr:col>
      <xdr:colOff>47625</xdr:colOff>
      <xdr:row>95</xdr:row>
      <xdr:rowOff>85725</xdr:rowOff>
    </xdr:from>
    <xdr:to>
      <xdr:col>1</xdr:col>
      <xdr:colOff>47625</xdr:colOff>
      <xdr:row>96</xdr:row>
      <xdr:rowOff>123825</xdr:rowOff>
    </xdr:to>
    <xdr:pic>
      <xdr:nvPicPr>
        <xdr:cNvPr id="2" name="Picture 2"/>
        <xdr:cNvPicPr preferRelativeResize="1">
          <a:picLocks noChangeAspect="1"/>
        </xdr:cNvPicPr>
      </xdr:nvPicPr>
      <xdr:blipFill>
        <a:blip r:link="rId1"/>
        <a:stretch>
          <a:fillRect/>
        </a:stretch>
      </xdr:blipFill>
      <xdr:spPr>
        <a:xfrm>
          <a:off x="47625" y="19554825"/>
          <a:ext cx="314325" cy="238125"/>
        </a:xfrm>
        <a:prstGeom prst="rect">
          <a:avLst/>
        </a:prstGeom>
        <a:noFill/>
        <a:ln w="9525" cmpd="sng">
          <a:noFill/>
        </a:ln>
      </xdr:spPr>
    </xdr:pic>
    <xdr:clientData/>
  </xdr:twoCellAnchor>
  <xdr:twoCellAnchor>
    <xdr:from>
      <xdr:col>0</xdr:col>
      <xdr:colOff>0</xdr:colOff>
      <xdr:row>146</xdr:row>
      <xdr:rowOff>95250</xdr:rowOff>
    </xdr:from>
    <xdr:to>
      <xdr:col>1</xdr:col>
      <xdr:colOff>0</xdr:colOff>
      <xdr:row>147</xdr:row>
      <xdr:rowOff>133350</xdr:rowOff>
    </xdr:to>
    <xdr:pic>
      <xdr:nvPicPr>
        <xdr:cNvPr id="3" name="Picture 3"/>
        <xdr:cNvPicPr preferRelativeResize="1">
          <a:picLocks noChangeAspect="1"/>
        </xdr:cNvPicPr>
      </xdr:nvPicPr>
      <xdr:blipFill>
        <a:blip r:link="rId1"/>
        <a:stretch>
          <a:fillRect/>
        </a:stretch>
      </xdr:blipFill>
      <xdr:spPr>
        <a:xfrm>
          <a:off x="0" y="29775150"/>
          <a:ext cx="314325" cy="238125"/>
        </a:xfrm>
        <a:prstGeom prst="rect">
          <a:avLst/>
        </a:prstGeom>
        <a:noFill/>
        <a:ln w="9525" cmpd="sng">
          <a:noFill/>
        </a:ln>
      </xdr:spPr>
    </xdr:pic>
    <xdr:clientData/>
  </xdr:twoCellAnchor>
  <xdr:twoCellAnchor>
    <xdr:from>
      <xdr:col>0</xdr:col>
      <xdr:colOff>0</xdr:colOff>
      <xdr:row>207</xdr:row>
      <xdr:rowOff>57150</xdr:rowOff>
    </xdr:from>
    <xdr:to>
      <xdr:col>1</xdr:col>
      <xdr:colOff>0</xdr:colOff>
      <xdr:row>208</xdr:row>
      <xdr:rowOff>95250</xdr:rowOff>
    </xdr:to>
    <xdr:pic>
      <xdr:nvPicPr>
        <xdr:cNvPr id="4" name="Picture 4"/>
        <xdr:cNvPicPr preferRelativeResize="1">
          <a:picLocks noChangeAspect="1"/>
        </xdr:cNvPicPr>
      </xdr:nvPicPr>
      <xdr:blipFill>
        <a:blip r:link="rId1"/>
        <a:stretch>
          <a:fillRect/>
        </a:stretch>
      </xdr:blipFill>
      <xdr:spPr>
        <a:xfrm>
          <a:off x="0" y="41948100"/>
          <a:ext cx="314325" cy="238125"/>
        </a:xfrm>
        <a:prstGeom prst="rect">
          <a:avLst/>
        </a:prstGeom>
        <a:noFill/>
        <a:ln w="9525" cmpd="sng">
          <a:noFill/>
        </a:ln>
      </xdr:spPr>
    </xdr:pic>
    <xdr:clientData/>
  </xdr:twoCellAnchor>
  <xdr:twoCellAnchor>
    <xdr:from>
      <xdr:col>12</xdr:col>
      <xdr:colOff>66675</xdr:colOff>
      <xdr:row>207</xdr:row>
      <xdr:rowOff>76200</xdr:rowOff>
    </xdr:from>
    <xdr:to>
      <xdr:col>12</xdr:col>
      <xdr:colOff>866775</xdr:colOff>
      <xdr:row>208</xdr:row>
      <xdr:rowOff>104775</xdr:rowOff>
    </xdr:to>
    <xdr:pic>
      <xdr:nvPicPr>
        <xdr:cNvPr id="5" name="Picture 5"/>
        <xdr:cNvPicPr preferRelativeResize="1">
          <a:picLocks noChangeAspect="1"/>
        </xdr:cNvPicPr>
      </xdr:nvPicPr>
      <xdr:blipFill>
        <a:blip r:link="rId2"/>
        <a:stretch>
          <a:fillRect/>
        </a:stretch>
      </xdr:blipFill>
      <xdr:spPr>
        <a:xfrm>
          <a:off x="15925800" y="41967150"/>
          <a:ext cx="800100" cy="228600"/>
        </a:xfrm>
        <a:prstGeom prst="rect">
          <a:avLst/>
        </a:prstGeom>
        <a:noFill/>
        <a:ln w="9525" cmpd="sng">
          <a:noFill/>
        </a:ln>
      </xdr:spPr>
    </xdr:pic>
    <xdr:clientData/>
  </xdr:twoCellAnchor>
  <xdr:twoCellAnchor>
    <xdr:from>
      <xdr:col>12</xdr:col>
      <xdr:colOff>85725</xdr:colOff>
      <xdr:row>146</xdr:row>
      <xdr:rowOff>66675</xdr:rowOff>
    </xdr:from>
    <xdr:to>
      <xdr:col>12</xdr:col>
      <xdr:colOff>885825</xdr:colOff>
      <xdr:row>147</xdr:row>
      <xdr:rowOff>95250</xdr:rowOff>
    </xdr:to>
    <xdr:pic>
      <xdr:nvPicPr>
        <xdr:cNvPr id="6" name="Picture 6"/>
        <xdr:cNvPicPr preferRelativeResize="1">
          <a:picLocks noChangeAspect="1"/>
        </xdr:cNvPicPr>
      </xdr:nvPicPr>
      <xdr:blipFill>
        <a:blip r:link="rId2"/>
        <a:stretch>
          <a:fillRect/>
        </a:stretch>
      </xdr:blipFill>
      <xdr:spPr>
        <a:xfrm>
          <a:off x="15944850" y="29746575"/>
          <a:ext cx="800100" cy="228600"/>
        </a:xfrm>
        <a:prstGeom prst="rect">
          <a:avLst/>
        </a:prstGeom>
        <a:noFill/>
        <a:ln w="9525" cmpd="sng">
          <a:noFill/>
        </a:ln>
      </xdr:spPr>
    </xdr:pic>
    <xdr:clientData/>
  </xdr:twoCellAnchor>
  <xdr:twoCellAnchor>
    <xdr:from>
      <xdr:col>12</xdr:col>
      <xdr:colOff>142875</xdr:colOff>
      <xdr:row>95</xdr:row>
      <xdr:rowOff>76200</xdr:rowOff>
    </xdr:from>
    <xdr:to>
      <xdr:col>12</xdr:col>
      <xdr:colOff>942975</xdr:colOff>
      <xdr:row>96</xdr:row>
      <xdr:rowOff>104775</xdr:rowOff>
    </xdr:to>
    <xdr:pic>
      <xdr:nvPicPr>
        <xdr:cNvPr id="7" name="Picture 7"/>
        <xdr:cNvPicPr preferRelativeResize="1">
          <a:picLocks noChangeAspect="1"/>
        </xdr:cNvPicPr>
      </xdr:nvPicPr>
      <xdr:blipFill>
        <a:blip r:link="rId2"/>
        <a:stretch>
          <a:fillRect/>
        </a:stretch>
      </xdr:blipFill>
      <xdr:spPr>
        <a:xfrm>
          <a:off x="16002000" y="19545300"/>
          <a:ext cx="800100" cy="228600"/>
        </a:xfrm>
        <a:prstGeom prst="rect">
          <a:avLst/>
        </a:prstGeom>
        <a:noFill/>
        <a:ln w="9525" cmpd="sng">
          <a:noFill/>
        </a:ln>
      </xdr:spPr>
    </xdr:pic>
    <xdr:clientData/>
  </xdr:twoCellAnchor>
  <xdr:twoCellAnchor>
    <xdr:from>
      <xdr:col>12</xdr:col>
      <xdr:colOff>66675</xdr:colOff>
      <xdr:row>48</xdr:row>
      <xdr:rowOff>57150</xdr:rowOff>
    </xdr:from>
    <xdr:to>
      <xdr:col>12</xdr:col>
      <xdr:colOff>866775</xdr:colOff>
      <xdr:row>49</xdr:row>
      <xdr:rowOff>85725</xdr:rowOff>
    </xdr:to>
    <xdr:pic>
      <xdr:nvPicPr>
        <xdr:cNvPr id="8" name="Picture 8"/>
        <xdr:cNvPicPr preferRelativeResize="1">
          <a:picLocks noChangeAspect="1"/>
        </xdr:cNvPicPr>
      </xdr:nvPicPr>
      <xdr:blipFill>
        <a:blip r:link="rId2"/>
        <a:stretch>
          <a:fillRect/>
        </a:stretch>
      </xdr:blipFill>
      <xdr:spPr>
        <a:xfrm>
          <a:off x="15925800" y="9715500"/>
          <a:ext cx="800100" cy="228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76200</xdr:rowOff>
    </xdr:from>
    <xdr:to>
      <xdr:col>1</xdr:col>
      <xdr:colOff>0</xdr:colOff>
      <xdr:row>49</xdr:row>
      <xdr:rowOff>114300</xdr:rowOff>
    </xdr:to>
    <xdr:pic>
      <xdr:nvPicPr>
        <xdr:cNvPr id="1" name="Picture 1"/>
        <xdr:cNvPicPr preferRelativeResize="1">
          <a:picLocks noChangeAspect="1"/>
        </xdr:cNvPicPr>
      </xdr:nvPicPr>
      <xdr:blipFill>
        <a:blip r:link="rId1"/>
        <a:stretch>
          <a:fillRect/>
        </a:stretch>
      </xdr:blipFill>
      <xdr:spPr>
        <a:xfrm>
          <a:off x="0" y="9734550"/>
          <a:ext cx="314325" cy="238125"/>
        </a:xfrm>
        <a:prstGeom prst="rect">
          <a:avLst/>
        </a:prstGeom>
        <a:noFill/>
        <a:ln w="9525" cmpd="sng">
          <a:noFill/>
        </a:ln>
      </xdr:spPr>
    </xdr:pic>
    <xdr:clientData/>
  </xdr:twoCellAnchor>
  <xdr:twoCellAnchor>
    <xdr:from>
      <xdr:col>0</xdr:col>
      <xdr:colOff>47625</xdr:colOff>
      <xdr:row>95</xdr:row>
      <xdr:rowOff>85725</xdr:rowOff>
    </xdr:from>
    <xdr:to>
      <xdr:col>1</xdr:col>
      <xdr:colOff>47625</xdr:colOff>
      <xdr:row>96</xdr:row>
      <xdr:rowOff>123825</xdr:rowOff>
    </xdr:to>
    <xdr:pic>
      <xdr:nvPicPr>
        <xdr:cNvPr id="2" name="Picture 2"/>
        <xdr:cNvPicPr preferRelativeResize="1">
          <a:picLocks noChangeAspect="1"/>
        </xdr:cNvPicPr>
      </xdr:nvPicPr>
      <xdr:blipFill>
        <a:blip r:link="rId1"/>
        <a:stretch>
          <a:fillRect/>
        </a:stretch>
      </xdr:blipFill>
      <xdr:spPr>
        <a:xfrm>
          <a:off x="47625" y="19554825"/>
          <a:ext cx="314325" cy="238125"/>
        </a:xfrm>
        <a:prstGeom prst="rect">
          <a:avLst/>
        </a:prstGeom>
        <a:noFill/>
        <a:ln w="9525" cmpd="sng">
          <a:noFill/>
        </a:ln>
      </xdr:spPr>
    </xdr:pic>
    <xdr:clientData/>
  </xdr:twoCellAnchor>
  <xdr:twoCellAnchor>
    <xdr:from>
      <xdr:col>0</xdr:col>
      <xdr:colOff>0</xdr:colOff>
      <xdr:row>146</xdr:row>
      <xdr:rowOff>95250</xdr:rowOff>
    </xdr:from>
    <xdr:to>
      <xdr:col>1</xdr:col>
      <xdr:colOff>0</xdr:colOff>
      <xdr:row>147</xdr:row>
      <xdr:rowOff>133350</xdr:rowOff>
    </xdr:to>
    <xdr:pic>
      <xdr:nvPicPr>
        <xdr:cNvPr id="3" name="Picture 3"/>
        <xdr:cNvPicPr preferRelativeResize="1">
          <a:picLocks noChangeAspect="1"/>
        </xdr:cNvPicPr>
      </xdr:nvPicPr>
      <xdr:blipFill>
        <a:blip r:link="rId1"/>
        <a:stretch>
          <a:fillRect/>
        </a:stretch>
      </xdr:blipFill>
      <xdr:spPr>
        <a:xfrm>
          <a:off x="0" y="29775150"/>
          <a:ext cx="314325" cy="238125"/>
        </a:xfrm>
        <a:prstGeom prst="rect">
          <a:avLst/>
        </a:prstGeom>
        <a:noFill/>
        <a:ln w="9525" cmpd="sng">
          <a:noFill/>
        </a:ln>
      </xdr:spPr>
    </xdr:pic>
    <xdr:clientData/>
  </xdr:twoCellAnchor>
  <xdr:twoCellAnchor>
    <xdr:from>
      <xdr:col>0</xdr:col>
      <xdr:colOff>0</xdr:colOff>
      <xdr:row>208</xdr:row>
      <xdr:rowOff>57150</xdr:rowOff>
    </xdr:from>
    <xdr:to>
      <xdr:col>1</xdr:col>
      <xdr:colOff>0</xdr:colOff>
      <xdr:row>209</xdr:row>
      <xdr:rowOff>95250</xdr:rowOff>
    </xdr:to>
    <xdr:pic>
      <xdr:nvPicPr>
        <xdr:cNvPr id="4" name="Picture 4"/>
        <xdr:cNvPicPr preferRelativeResize="1">
          <a:picLocks noChangeAspect="1"/>
        </xdr:cNvPicPr>
      </xdr:nvPicPr>
      <xdr:blipFill>
        <a:blip r:link="rId1"/>
        <a:stretch>
          <a:fillRect/>
        </a:stretch>
      </xdr:blipFill>
      <xdr:spPr>
        <a:xfrm>
          <a:off x="0" y="42148125"/>
          <a:ext cx="314325" cy="238125"/>
        </a:xfrm>
        <a:prstGeom prst="rect">
          <a:avLst/>
        </a:prstGeom>
        <a:noFill/>
        <a:ln w="9525" cmpd="sng">
          <a:noFill/>
        </a:ln>
      </xdr:spPr>
    </xdr:pic>
    <xdr:clientData/>
  </xdr:twoCellAnchor>
  <xdr:twoCellAnchor>
    <xdr:from>
      <xdr:col>12</xdr:col>
      <xdr:colOff>66675</xdr:colOff>
      <xdr:row>208</xdr:row>
      <xdr:rowOff>76200</xdr:rowOff>
    </xdr:from>
    <xdr:to>
      <xdr:col>12</xdr:col>
      <xdr:colOff>866775</xdr:colOff>
      <xdr:row>209</xdr:row>
      <xdr:rowOff>104775</xdr:rowOff>
    </xdr:to>
    <xdr:pic>
      <xdr:nvPicPr>
        <xdr:cNvPr id="5" name="Picture 5"/>
        <xdr:cNvPicPr preferRelativeResize="1">
          <a:picLocks noChangeAspect="1"/>
        </xdr:cNvPicPr>
      </xdr:nvPicPr>
      <xdr:blipFill>
        <a:blip r:link="rId2"/>
        <a:stretch>
          <a:fillRect/>
        </a:stretch>
      </xdr:blipFill>
      <xdr:spPr>
        <a:xfrm>
          <a:off x="15925800" y="42167175"/>
          <a:ext cx="800100" cy="228600"/>
        </a:xfrm>
        <a:prstGeom prst="rect">
          <a:avLst/>
        </a:prstGeom>
        <a:noFill/>
        <a:ln w="9525" cmpd="sng">
          <a:noFill/>
        </a:ln>
      </xdr:spPr>
    </xdr:pic>
    <xdr:clientData/>
  </xdr:twoCellAnchor>
  <xdr:twoCellAnchor>
    <xdr:from>
      <xdr:col>12</xdr:col>
      <xdr:colOff>85725</xdr:colOff>
      <xdr:row>146</xdr:row>
      <xdr:rowOff>66675</xdr:rowOff>
    </xdr:from>
    <xdr:to>
      <xdr:col>12</xdr:col>
      <xdr:colOff>885825</xdr:colOff>
      <xdr:row>147</xdr:row>
      <xdr:rowOff>95250</xdr:rowOff>
    </xdr:to>
    <xdr:pic>
      <xdr:nvPicPr>
        <xdr:cNvPr id="6" name="Picture 6"/>
        <xdr:cNvPicPr preferRelativeResize="1">
          <a:picLocks noChangeAspect="1"/>
        </xdr:cNvPicPr>
      </xdr:nvPicPr>
      <xdr:blipFill>
        <a:blip r:link="rId2"/>
        <a:stretch>
          <a:fillRect/>
        </a:stretch>
      </xdr:blipFill>
      <xdr:spPr>
        <a:xfrm>
          <a:off x="15944850" y="29746575"/>
          <a:ext cx="800100" cy="228600"/>
        </a:xfrm>
        <a:prstGeom prst="rect">
          <a:avLst/>
        </a:prstGeom>
        <a:noFill/>
        <a:ln w="9525" cmpd="sng">
          <a:noFill/>
        </a:ln>
      </xdr:spPr>
    </xdr:pic>
    <xdr:clientData/>
  </xdr:twoCellAnchor>
  <xdr:twoCellAnchor>
    <xdr:from>
      <xdr:col>12</xdr:col>
      <xdr:colOff>142875</xdr:colOff>
      <xdr:row>95</xdr:row>
      <xdr:rowOff>76200</xdr:rowOff>
    </xdr:from>
    <xdr:to>
      <xdr:col>12</xdr:col>
      <xdr:colOff>942975</xdr:colOff>
      <xdr:row>96</xdr:row>
      <xdr:rowOff>104775</xdr:rowOff>
    </xdr:to>
    <xdr:pic>
      <xdr:nvPicPr>
        <xdr:cNvPr id="7" name="Picture 7"/>
        <xdr:cNvPicPr preferRelativeResize="1">
          <a:picLocks noChangeAspect="1"/>
        </xdr:cNvPicPr>
      </xdr:nvPicPr>
      <xdr:blipFill>
        <a:blip r:link="rId2"/>
        <a:stretch>
          <a:fillRect/>
        </a:stretch>
      </xdr:blipFill>
      <xdr:spPr>
        <a:xfrm>
          <a:off x="16002000" y="19545300"/>
          <a:ext cx="800100" cy="228600"/>
        </a:xfrm>
        <a:prstGeom prst="rect">
          <a:avLst/>
        </a:prstGeom>
        <a:noFill/>
        <a:ln w="9525" cmpd="sng">
          <a:noFill/>
        </a:ln>
      </xdr:spPr>
    </xdr:pic>
    <xdr:clientData/>
  </xdr:twoCellAnchor>
  <xdr:twoCellAnchor>
    <xdr:from>
      <xdr:col>12</xdr:col>
      <xdr:colOff>66675</xdr:colOff>
      <xdr:row>48</xdr:row>
      <xdr:rowOff>57150</xdr:rowOff>
    </xdr:from>
    <xdr:to>
      <xdr:col>12</xdr:col>
      <xdr:colOff>866775</xdr:colOff>
      <xdr:row>49</xdr:row>
      <xdr:rowOff>85725</xdr:rowOff>
    </xdr:to>
    <xdr:pic>
      <xdr:nvPicPr>
        <xdr:cNvPr id="8" name="Picture 8"/>
        <xdr:cNvPicPr preferRelativeResize="1">
          <a:picLocks noChangeAspect="1"/>
        </xdr:cNvPicPr>
      </xdr:nvPicPr>
      <xdr:blipFill>
        <a:blip r:link="rId2"/>
        <a:stretch>
          <a:fillRect/>
        </a:stretch>
      </xdr:blipFill>
      <xdr:spPr>
        <a:xfrm>
          <a:off x="15925800" y="9715500"/>
          <a:ext cx="800100" cy="2286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76200</xdr:rowOff>
    </xdr:from>
    <xdr:to>
      <xdr:col>1</xdr:col>
      <xdr:colOff>0</xdr:colOff>
      <xdr:row>49</xdr:row>
      <xdr:rowOff>114300</xdr:rowOff>
    </xdr:to>
    <xdr:pic>
      <xdr:nvPicPr>
        <xdr:cNvPr id="1" name="Picture 1"/>
        <xdr:cNvPicPr preferRelativeResize="1">
          <a:picLocks noChangeAspect="1"/>
        </xdr:cNvPicPr>
      </xdr:nvPicPr>
      <xdr:blipFill>
        <a:blip r:link="rId1"/>
        <a:stretch>
          <a:fillRect/>
        </a:stretch>
      </xdr:blipFill>
      <xdr:spPr>
        <a:xfrm>
          <a:off x="0" y="9734550"/>
          <a:ext cx="314325" cy="238125"/>
        </a:xfrm>
        <a:prstGeom prst="rect">
          <a:avLst/>
        </a:prstGeom>
        <a:noFill/>
        <a:ln w="9525" cmpd="sng">
          <a:noFill/>
        </a:ln>
      </xdr:spPr>
    </xdr:pic>
    <xdr:clientData/>
  </xdr:twoCellAnchor>
  <xdr:twoCellAnchor>
    <xdr:from>
      <xdr:col>0</xdr:col>
      <xdr:colOff>47625</xdr:colOff>
      <xdr:row>106</xdr:row>
      <xdr:rowOff>85725</xdr:rowOff>
    </xdr:from>
    <xdr:to>
      <xdr:col>1</xdr:col>
      <xdr:colOff>47625</xdr:colOff>
      <xdr:row>107</xdr:row>
      <xdr:rowOff>123825</xdr:rowOff>
    </xdr:to>
    <xdr:pic>
      <xdr:nvPicPr>
        <xdr:cNvPr id="2" name="Picture 2"/>
        <xdr:cNvPicPr preferRelativeResize="1">
          <a:picLocks noChangeAspect="1"/>
        </xdr:cNvPicPr>
      </xdr:nvPicPr>
      <xdr:blipFill>
        <a:blip r:link="rId1"/>
        <a:stretch>
          <a:fillRect/>
        </a:stretch>
      </xdr:blipFill>
      <xdr:spPr>
        <a:xfrm>
          <a:off x="47625" y="21755100"/>
          <a:ext cx="314325" cy="238125"/>
        </a:xfrm>
        <a:prstGeom prst="rect">
          <a:avLst/>
        </a:prstGeom>
        <a:noFill/>
        <a:ln w="9525" cmpd="sng">
          <a:noFill/>
        </a:ln>
      </xdr:spPr>
    </xdr:pic>
    <xdr:clientData/>
  </xdr:twoCellAnchor>
  <xdr:twoCellAnchor>
    <xdr:from>
      <xdr:col>0</xdr:col>
      <xdr:colOff>0</xdr:colOff>
      <xdr:row>158</xdr:row>
      <xdr:rowOff>95250</xdr:rowOff>
    </xdr:from>
    <xdr:to>
      <xdr:col>1</xdr:col>
      <xdr:colOff>0</xdr:colOff>
      <xdr:row>159</xdr:row>
      <xdr:rowOff>133350</xdr:rowOff>
    </xdr:to>
    <xdr:pic>
      <xdr:nvPicPr>
        <xdr:cNvPr id="3" name="Picture 3"/>
        <xdr:cNvPicPr preferRelativeResize="1">
          <a:picLocks noChangeAspect="1"/>
        </xdr:cNvPicPr>
      </xdr:nvPicPr>
      <xdr:blipFill>
        <a:blip r:link="rId1"/>
        <a:stretch>
          <a:fillRect/>
        </a:stretch>
      </xdr:blipFill>
      <xdr:spPr>
        <a:xfrm>
          <a:off x="0" y="32175450"/>
          <a:ext cx="314325" cy="238125"/>
        </a:xfrm>
        <a:prstGeom prst="rect">
          <a:avLst/>
        </a:prstGeom>
        <a:noFill/>
        <a:ln w="9525" cmpd="sng">
          <a:noFill/>
        </a:ln>
      </xdr:spPr>
    </xdr:pic>
    <xdr:clientData/>
  </xdr:twoCellAnchor>
  <xdr:twoCellAnchor>
    <xdr:from>
      <xdr:col>0</xdr:col>
      <xdr:colOff>0</xdr:colOff>
      <xdr:row>220</xdr:row>
      <xdr:rowOff>57150</xdr:rowOff>
    </xdr:from>
    <xdr:to>
      <xdr:col>1</xdr:col>
      <xdr:colOff>0</xdr:colOff>
      <xdr:row>221</xdr:row>
      <xdr:rowOff>95250</xdr:rowOff>
    </xdr:to>
    <xdr:pic>
      <xdr:nvPicPr>
        <xdr:cNvPr id="4" name="Picture 4"/>
        <xdr:cNvPicPr preferRelativeResize="1">
          <a:picLocks noChangeAspect="1"/>
        </xdr:cNvPicPr>
      </xdr:nvPicPr>
      <xdr:blipFill>
        <a:blip r:link="rId1"/>
        <a:stretch>
          <a:fillRect/>
        </a:stretch>
      </xdr:blipFill>
      <xdr:spPr>
        <a:xfrm>
          <a:off x="0" y="44548425"/>
          <a:ext cx="314325" cy="238125"/>
        </a:xfrm>
        <a:prstGeom prst="rect">
          <a:avLst/>
        </a:prstGeom>
        <a:noFill/>
        <a:ln w="9525" cmpd="sng">
          <a:noFill/>
        </a:ln>
      </xdr:spPr>
    </xdr:pic>
    <xdr:clientData/>
  </xdr:twoCellAnchor>
  <xdr:twoCellAnchor>
    <xdr:from>
      <xdr:col>12</xdr:col>
      <xdr:colOff>66675</xdr:colOff>
      <xdr:row>220</xdr:row>
      <xdr:rowOff>76200</xdr:rowOff>
    </xdr:from>
    <xdr:to>
      <xdr:col>12</xdr:col>
      <xdr:colOff>866775</xdr:colOff>
      <xdr:row>221</xdr:row>
      <xdr:rowOff>104775</xdr:rowOff>
    </xdr:to>
    <xdr:pic>
      <xdr:nvPicPr>
        <xdr:cNvPr id="5" name="Picture 5"/>
        <xdr:cNvPicPr preferRelativeResize="1">
          <a:picLocks noChangeAspect="1"/>
        </xdr:cNvPicPr>
      </xdr:nvPicPr>
      <xdr:blipFill>
        <a:blip r:link="rId2"/>
        <a:stretch>
          <a:fillRect/>
        </a:stretch>
      </xdr:blipFill>
      <xdr:spPr>
        <a:xfrm>
          <a:off x="15925800" y="44567475"/>
          <a:ext cx="800100" cy="228600"/>
        </a:xfrm>
        <a:prstGeom prst="rect">
          <a:avLst/>
        </a:prstGeom>
        <a:noFill/>
        <a:ln w="9525" cmpd="sng">
          <a:noFill/>
        </a:ln>
      </xdr:spPr>
    </xdr:pic>
    <xdr:clientData/>
  </xdr:twoCellAnchor>
  <xdr:twoCellAnchor>
    <xdr:from>
      <xdr:col>12</xdr:col>
      <xdr:colOff>85725</xdr:colOff>
      <xdr:row>158</xdr:row>
      <xdr:rowOff>66675</xdr:rowOff>
    </xdr:from>
    <xdr:to>
      <xdr:col>12</xdr:col>
      <xdr:colOff>885825</xdr:colOff>
      <xdr:row>159</xdr:row>
      <xdr:rowOff>95250</xdr:rowOff>
    </xdr:to>
    <xdr:pic>
      <xdr:nvPicPr>
        <xdr:cNvPr id="6" name="Picture 6"/>
        <xdr:cNvPicPr preferRelativeResize="1">
          <a:picLocks noChangeAspect="1"/>
        </xdr:cNvPicPr>
      </xdr:nvPicPr>
      <xdr:blipFill>
        <a:blip r:link="rId2"/>
        <a:stretch>
          <a:fillRect/>
        </a:stretch>
      </xdr:blipFill>
      <xdr:spPr>
        <a:xfrm>
          <a:off x="15944850" y="32146875"/>
          <a:ext cx="800100" cy="228600"/>
        </a:xfrm>
        <a:prstGeom prst="rect">
          <a:avLst/>
        </a:prstGeom>
        <a:noFill/>
        <a:ln w="9525" cmpd="sng">
          <a:noFill/>
        </a:ln>
      </xdr:spPr>
    </xdr:pic>
    <xdr:clientData/>
  </xdr:twoCellAnchor>
  <xdr:twoCellAnchor>
    <xdr:from>
      <xdr:col>12</xdr:col>
      <xdr:colOff>142875</xdr:colOff>
      <xdr:row>106</xdr:row>
      <xdr:rowOff>76200</xdr:rowOff>
    </xdr:from>
    <xdr:to>
      <xdr:col>12</xdr:col>
      <xdr:colOff>942975</xdr:colOff>
      <xdr:row>107</xdr:row>
      <xdr:rowOff>104775</xdr:rowOff>
    </xdr:to>
    <xdr:pic>
      <xdr:nvPicPr>
        <xdr:cNvPr id="7" name="Picture 7"/>
        <xdr:cNvPicPr preferRelativeResize="1">
          <a:picLocks noChangeAspect="1"/>
        </xdr:cNvPicPr>
      </xdr:nvPicPr>
      <xdr:blipFill>
        <a:blip r:link="rId2"/>
        <a:stretch>
          <a:fillRect/>
        </a:stretch>
      </xdr:blipFill>
      <xdr:spPr>
        <a:xfrm>
          <a:off x="16002000" y="21745575"/>
          <a:ext cx="800100" cy="228600"/>
        </a:xfrm>
        <a:prstGeom prst="rect">
          <a:avLst/>
        </a:prstGeom>
        <a:noFill/>
        <a:ln w="9525" cmpd="sng">
          <a:noFill/>
        </a:ln>
      </xdr:spPr>
    </xdr:pic>
    <xdr:clientData/>
  </xdr:twoCellAnchor>
  <xdr:twoCellAnchor>
    <xdr:from>
      <xdr:col>12</xdr:col>
      <xdr:colOff>66675</xdr:colOff>
      <xdr:row>48</xdr:row>
      <xdr:rowOff>57150</xdr:rowOff>
    </xdr:from>
    <xdr:to>
      <xdr:col>12</xdr:col>
      <xdr:colOff>866775</xdr:colOff>
      <xdr:row>49</xdr:row>
      <xdr:rowOff>85725</xdr:rowOff>
    </xdr:to>
    <xdr:pic>
      <xdr:nvPicPr>
        <xdr:cNvPr id="8" name="Picture 8"/>
        <xdr:cNvPicPr preferRelativeResize="1">
          <a:picLocks noChangeAspect="1"/>
        </xdr:cNvPicPr>
      </xdr:nvPicPr>
      <xdr:blipFill>
        <a:blip r:link="rId2"/>
        <a:stretch>
          <a:fillRect/>
        </a:stretch>
      </xdr:blipFill>
      <xdr:spPr>
        <a:xfrm>
          <a:off x="15925800" y="9715500"/>
          <a:ext cx="8001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48</xdr:row>
      <xdr:rowOff>104775</xdr:rowOff>
    </xdr:from>
    <xdr:to>
      <xdr:col>1</xdr:col>
      <xdr:colOff>47625</xdr:colOff>
      <xdr:row>49</xdr:row>
      <xdr:rowOff>142875</xdr:rowOff>
    </xdr:to>
    <xdr:pic>
      <xdr:nvPicPr>
        <xdr:cNvPr id="1" name="Picture 1"/>
        <xdr:cNvPicPr preferRelativeResize="1">
          <a:picLocks noChangeAspect="1"/>
        </xdr:cNvPicPr>
      </xdr:nvPicPr>
      <xdr:blipFill>
        <a:blip r:link="rId1"/>
        <a:stretch>
          <a:fillRect/>
        </a:stretch>
      </xdr:blipFill>
      <xdr:spPr>
        <a:xfrm>
          <a:off x="47625" y="9763125"/>
          <a:ext cx="314325" cy="238125"/>
        </a:xfrm>
        <a:prstGeom prst="rect">
          <a:avLst/>
        </a:prstGeom>
        <a:noFill/>
        <a:ln w="9525" cmpd="sng">
          <a:noFill/>
        </a:ln>
      </xdr:spPr>
    </xdr:pic>
    <xdr:clientData/>
  </xdr:twoCellAnchor>
  <xdr:twoCellAnchor>
    <xdr:from>
      <xdr:col>0</xdr:col>
      <xdr:colOff>28575</xdr:colOff>
      <xdr:row>95</xdr:row>
      <xdr:rowOff>95250</xdr:rowOff>
    </xdr:from>
    <xdr:to>
      <xdr:col>1</xdr:col>
      <xdr:colOff>28575</xdr:colOff>
      <xdr:row>96</xdr:row>
      <xdr:rowOff>133350</xdr:rowOff>
    </xdr:to>
    <xdr:pic>
      <xdr:nvPicPr>
        <xdr:cNvPr id="2" name="Picture 2"/>
        <xdr:cNvPicPr preferRelativeResize="1">
          <a:picLocks noChangeAspect="1"/>
        </xdr:cNvPicPr>
      </xdr:nvPicPr>
      <xdr:blipFill>
        <a:blip r:link="rId1"/>
        <a:stretch>
          <a:fillRect/>
        </a:stretch>
      </xdr:blipFill>
      <xdr:spPr>
        <a:xfrm>
          <a:off x="28575" y="19564350"/>
          <a:ext cx="314325" cy="238125"/>
        </a:xfrm>
        <a:prstGeom prst="rect">
          <a:avLst/>
        </a:prstGeom>
        <a:noFill/>
        <a:ln w="9525" cmpd="sng">
          <a:noFill/>
        </a:ln>
      </xdr:spPr>
    </xdr:pic>
    <xdr:clientData/>
  </xdr:twoCellAnchor>
  <xdr:twoCellAnchor>
    <xdr:from>
      <xdr:col>0</xdr:col>
      <xdr:colOff>19050</xdr:colOff>
      <xdr:row>146</xdr:row>
      <xdr:rowOff>95250</xdr:rowOff>
    </xdr:from>
    <xdr:to>
      <xdr:col>1</xdr:col>
      <xdr:colOff>19050</xdr:colOff>
      <xdr:row>147</xdr:row>
      <xdr:rowOff>133350</xdr:rowOff>
    </xdr:to>
    <xdr:pic>
      <xdr:nvPicPr>
        <xdr:cNvPr id="3" name="Picture 3"/>
        <xdr:cNvPicPr preferRelativeResize="1">
          <a:picLocks noChangeAspect="1"/>
        </xdr:cNvPicPr>
      </xdr:nvPicPr>
      <xdr:blipFill>
        <a:blip r:link="rId1"/>
        <a:stretch>
          <a:fillRect/>
        </a:stretch>
      </xdr:blipFill>
      <xdr:spPr>
        <a:xfrm>
          <a:off x="19050" y="29775150"/>
          <a:ext cx="314325" cy="238125"/>
        </a:xfrm>
        <a:prstGeom prst="rect">
          <a:avLst/>
        </a:prstGeom>
        <a:noFill/>
        <a:ln w="9525" cmpd="sng">
          <a:noFill/>
        </a:ln>
      </xdr:spPr>
    </xdr:pic>
    <xdr:clientData/>
  </xdr:twoCellAnchor>
  <xdr:twoCellAnchor>
    <xdr:from>
      <xdr:col>0</xdr:col>
      <xdr:colOff>9525</xdr:colOff>
      <xdr:row>207</xdr:row>
      <xdr:rowOff>104775</xdr:rowOff>
    </xdr:from>
    <xdr:to>
      <xdr:col>1</xdr:col>
      <xdr:colOff>9525</xdr:colOff>
      <xdr:row>208</xdr:row>
      <xdr:rowOff>142875</xdr:rowOff>
    </xdr:to>
    <xdr:pic>
      <xdr:nvPicPr>
        <xdr:cNvPr id="4" name="Picture 4"/>
        <xdr:cNvPicPr preferRelativeResize="1">
          <a:picLocks noChangeAspect="1"/>
        </xdr:cNvPicPr>
      </xdr:nvPicPr>
      <xdr:blipFill>
        <a:blip r:link="rId1"/>
        <a:stretch>
          <a:fillRect/>
        </a:stretch>
      </xdr:blipFill>
      <xdr:spPr>
        <a:xfrm>
          <a:off x="9525" y="41995725"/>
          <a:ext cx="314325" cy="238125"/>
        </a:xfrm>
        <a:prstGeom prst="rect">
          <a:avLst/>
        </a:prstGeom>
        <a:noFill/>
        <a:ln w="9525" cmpd="sng">
          <a:noFill/>
        </a:ln>
      </xdr:spPr>
    </xdr:pic>
    <xdr:clientData/>
  </xdr:twoCellAnchor>
  <xdr:twoCellAnchor>
    <xdr:from>
      <xdr:col>12</xdr:col>
      <xdr:colOff>200025</xdr:colOff>
      <xdr:row>207</xdr:row>
      <xdr:rowOff>28575</xdr:rowOff>
    </xdr:from>
    <xdr:to>
      <xdr:col>12</xdr:col>
      <xdr:colOff>1000125</xdr:colOff>
      <xdr:row>208</xdr:row>
      <xdr:rowOff>57150</xdr:rowOff>
    </xdr:to>
    <xdr:pic>
      <xdr:nvPicPr>
        <xdr:cNvPr id="5" name="Picture 5"/>
        <xdr:cNvPicPr preferRelativeResize="1">
          <a:picLocks noChangeAspect="1"/>
        </xdr:cNvPicPr>
      </xdr:nvPicPr>
      <xdr:blipFill>
        <a:blip r:link="rId2"/>
        <a:stretch>
          <a:fillRect/>
        </a:stretch>
      </xdr:blipFill>
      <xdr:spPr>
        <a:xfrm>
          <a:off x="15230475" y="41919525"/>
          <a:ext cx="800100" cy="228600"/>
        </a:xfrm>
        <a:prstGeom prst="rect">
          <a:avLst/>
        </a:prstGeom>
        <a:noFill/>
        <a:ln w="9525" cmpd="sng">
          <a:noFill/>
        </a:ln>
      </xdr:spPr>
    </xdr:pic>
    <xdr:clientData/>
  </xdr:twoCellAnchor>
  <xdr:twoCellAnchor>
    <xdr:from>
      <xdr:col>12</xdr:col>
      <xdr:colOff>247650</xdr:colOff>
      <xdr:row>146</xdr:row>
      <xdr:rowOff>85725</xdr:rowOff>
    </xdr:from>
    <xdr:to>
      <xdr:col>12</xdr:col>
      <xdr:colOff>1047750</xdr:colOff>
      <xdr:row>147</xdr:row>
      <xdr:rowOff>114300</xdr:rowOff>
    </xdr:to>
    <xdr:pic>
      <xdr:nvPicPr>
        <xdr:cNvPr id="6" name="Picture 6"/>
        <xdr:cNvPicPr preferRelativeResize="1">
          <a:picLocks noChangeAspect="1"/>
        </xdr:cNvPicPr>
      </xdr:nvPicPr>
      <xdr:blipFill>
        <a:blip r:link="rId2"/>
        <a:stretch>
          <a:fillRect/>
        </a:stretch>
      </xdr:blipFill>
      <xdr:spPr>
        <a:xfrm>
          <a:off x="15278100" y="29765625"/>
          <a:ext cx="800100" cy="228600"/>
        </a:xfrm>
        <a:prstGeom prst="rect">
          <a:avLst/>
        </a:prstGeom>
        <a:noFill/>
        <a:ln w="9525" cmpd="sng">
          <a:noFill/>
        </a:ln>
      </xdr:spPr>
    </xdr:pic>
    <xdr:clientData/>
  </xdr:twoCellAnchor>
  <xdr:twoCellAnchor>
    <xdr:from>
      <xdr:col>12</xdr:col>
      <xdr:colOff>276225</xdr:colOff>
      <xdr:row>95</xdr:row>
      <xdr:rowOff>95250</xdr:rowOff>
    </xdr:from>
    <xdr:to>
      <xdr:col>12</xdr:col>
      <xdr:colOff>1076325</xdr:colOff>
      <xdr:row>96</xdr:row>
      <xdr:rowOff>123825</xdr:rowOff>
    </xdr:to>
    <xdr:pic>
      <xdr:nvPicPr>
        <xdr:cNvPr id="7" name="Picture 7"/>
        <xdr:cNvPicPr preferRelativeResize="1">
          <a:picLocks noChangeAspect="1"/>
        </xdr:cNvPicPr>
      </xdr:nvPicPr>
      <xdr:blipFill>
        <a:blip r:link="rId2"/>
        <a:stretch>
          <a:fillRect/>
        </a:stretch>
      </xdr:blipFill>
      <xdr:spPr>
        <a:xfrm>
          <a:off x="15306675" y="19564350"/>
          <a:ext cx="800100" cy="228600"/>
        </a:xfrm>
        <a:prstGeom prst="rect">
          <a:avLst/>
        </a:prstGeom>
        <a:noFill/>
        <a:ln w="9525" cmpd="sng">
          <a:noFill/>
        </a:ln>
      </xdr:spPr>
    </xdr:pic>
    <xdr:clientData/>
  </xdr:twoCellAnchor>
  <xdr:twoCellAnchor>
    <xdr:from>
      <xdr:col>12</xdr:col>
      <xdr:colOff>219075</xdr:colOff>
      <xdr:row>48</xdr:row>
      <xdr:rowOff>66675</xdr:rowOff>
    </xdr:from>
    <xdr:to>
      <xdr:col>12</xdr:col>
      <xdr:colOff>1019175</xdr:colOff>
      <xdr:row>49</xdr:row>
      <xdr:rowOff>95250</xdr:rowOff>
    </xdr:to>
    <xdr:pic>
      <xdr:nvPicPr>
        <xdr:cNvPr id="8" name="Picture 8"/>
        <xdr:cNvPicPr preferRelativeResize="1">
          <a:picLocks noChangeAspect="1"/>
        </xdr:cNvPicPr>
      </xdr:nvPicPr>
      <xdr:blipFill>
        <a:blip r:link="rId2"/>
        <a:stretch>
          <a:fillRect/>
        </a:stretch>
      </xdr:blipFill>
      <xdr:spPr>
        <a:xfrm>
          <a:off x="15249525" y="9725025"/>
          <a:ext cx="80010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104775</xdr:rowOff>
    </xdr:from>
    <xdr:to>
      <xdr:col>1</xdr:col>
      <xdr:colOff>9525</xdr:colOff>
      <xdr:row>49</xdr:row>
      <xdr:rowOff>142875</xdr:rowOff>
    </xdr:to>
    <xdr:pic>
      <xdr:nvPicPr>
        <xdr:cNvPr id="1" name="Picture 1"/>
        <xdr:cNvPicPr preferRelativeResize="1">
          <a:picLocks noChangeAspect="1"/>
        </xdr:cNvPicPr>
      </xdr:nvPicPr>
      <xdr:blipFill>
        <a:blip r:link="rId1"/>
        <a:stretch>
          <a:fillRect/>
        </a:stretch>
      </xdr:blipFill>
      <xdr:spPr>
        <a:xfrm>
          <a:off x="9525" y="9763125"/>
          <a:ext cx="314325" cy="238125"/>
        </a:xfrm>
        <a:prstGeom prst="rect">
          <a:avLst/>
        </a:prstGeom>
        <a:noFill/>
        <a:ln w="9525" cmpd="sng">
          <a:noFill/>
        </a:ln>
      </xdr:spPr>
    </xdr:pic>
    <xdr:clientData/>
  </xdr:twoCellAnchor>
  <xdr:twoCellAnchor>
    <xdr:from>
      <xdr:col>0</xdr:col>
      <xdr:colOff>0</xdr:colOff>
      <xdr:row>95</xdr:row>
      <xdr:rowOff>104775</xdr:rowOff>
    </xdr:from>
    <xdr:to>
      <xdr:col>1</xdr:col>
      <xdr:colOff>0</xdr:colOff>
      <xdr:row>96</xdr:row>
      <xdr:rowOff>142875</xdr:rowOff>
    </xdr:to>
    <xdr:pic>
      <xdr:nvPicPr>
        <xdr:cNvPr id="2" name="Picture 2"/>
        <xdr:cNvPicPr preferRelativeResize="1">
          <a:picLocks noChangeAspect="1"/>
        </xdr:cNvPicPr>
      </xdr:nvPicPr>
      <xdr:blipFill>
        <a:blip r:link="rId1"/>
        <a:stretch>
          <a:fillRect/>
        </a:stretch>
      </xdr:blipFill>
      <xdr:spPr>
        <a:xfrm>
          <a:off x="0" y="19573875"/>
          <a:ext cx="314325" cy="238125"/>
        </a:xfrm>
        <a:prstGeom prst="rect">
          <a:avLst/>
        </a:prstGeom>
        <a:noFill/>
        <a:ln w="9525" cmpd="sng">
          <a:noFill/>
        </a:ln>
      </xdr:spPr>
    </xdr:pic>
    <xdr:clientData/>
  </xdr:twoCellAnchor>
  <xdr:twoCellAnchor>
    <xdr:from>
      <xdr:col>0</xdr:col>
      <xdr:colOff>28575</xdr:colOff>
      <xdr:row>146</xdr:row>
      <xdr:rowOff>76200</xdr:rowOff>
    </xdr:from>
    <xdr:to>
      <xdr:col>1</xdr:col>
      <xdr:colOff>28575</xdr:colOff>
      <xdr:row>147</xdr:row>
      <xdr:rowOff>114300</xdr:rowOff>
    </xdr:to>
    <xdr:pic>
      <xdr:nvPicPr>
        <xdr:cNvPr id="3" name="Picture 3"/>
        <xdr:cNvPicPr preferRelativeResize="1">
          <a:picLocks noChangeAspect="1"/>
        </xdr:cNvPicPr>
      </xdr:nvPicPr>
      <xdr:blipFill>
        <a:blip r:link="rId1"/>
        <a:stretch>
          <a:fillRect/>
        </a:stretch>
      </xdr:blipFill>
      <xdr:spPr>
        <a:xfrm>
          <a:off x="28575" y="29756100"/>
          <a:ext cx="314325" cy="238125"/>
        </a:xfrm>
        <a:prstGeom prst="rect">
          <a:avLst/>
        </a:prstGeom>
        <a:noFill/>
        <a:ln w="9525" cmpd="sng">
          <a:noFill/>
        </a:ln>
      </xdr:spPr>
    </xdr:pic>
    <xdr:clientData/>
  </xdr:twoCellAnchor>
  <xdr:twoCellAnchor>
    <xdr:from>
      <xdr:col>0</xdr:col>
      <xdr:colOff>0</xdr:colOff>
      <xdr:row>207</xdr:row>
      <xdr:rowOff>95250</xdr:rowOff>
    </xdr:from>
    <xdr:to>
      <xdr:col>1</xdr:col>
      <xdr:colOff>0</xdr:colOff>
      <xdr:row>208</xdr:row>
      <xdr:rowOff>133350</xdr:rowOff>
    </xdr:to>
    <xdr:pic>
      <xdr:nvPicPr>
        <xdr:cNvPr id="4" name="Picture 4"/>
        <xdr:cNvPicPr preferRelativeResize="1">
          <a:picLocks noChangeAspect="1"/>
        </xdr:cNvPicPr>
      </xdr:nvPicPr>
      <xdr:blipFill>
        <a:blip r:link="rId1"/>
        <a:stretch>
          <a:fillRect/>
        </a:stretch>
      </xdr:blipFill>
      <xdr:spPr>
        <a:xfrm>
          <a:off x="0" y="41986200"/>
          <a:ext cx="314325" cy="238125"/>
        </a:xfrm>
        <a:prstGeom prst="rect">
          <a:avLst/>
        </a:prstGeom>
        <a:noFill/>
        <a:ln w="9525" cmpd="sng">
          <a:noFill/>
        </a:ln>
      </xdr:spPr>
    </xdr:pic>
    <xdr:clientData/>
  </xdr:twoCellAnchor>
  <xdr:twoCellAnchor>
    <xdr:from>
      <xdr:col>12</xdr:col>
      <xdr:colOff>485775</xdr:colOff>
      <xdr:row>207</xdr:row>
      <xdr:rowOff>28575</xdr:rowOff>
    </xdr:from>
    <xdr:to>
      <xdr:col>12</xdr:col>
      <xdr:colOff>1285875</xdr:colOff>
      <xdr:row>208</xdr:row>
      <xdr:rowOff>57150</xdr:rowOff>
    </xdr:to>
    <xdr:pic>
      <xdr:nvPicPr>
        <xdr:cNvPr id="5" name="Picture 5"/>
        <xdr:cNvPicPr preferRelativeResize="1">
          <a:picLocks noChangeAspect="1"/>
        </xdr:cNvPicPr>
      </xdr:nvPicPr>
      <xdr:blipFill>
        <a:blip r:link="rId2"/>
        <a:stretch>
          <a:fillRect/>
        </a:stretch>
      </xdr:blipFill>
      <xdr:spPr>
        <a:xfrm>
          <a:off x="15487650" y="41919525"/>
          <a:ext cx="800100" cy="228600"/>
        </a:xfrm>
        <a:prstGeom prst="rect">
          <a:avLst/>
        </a:prstGeom>
        <a:noFill/>
        <a:ln w="9525" cmpd="sng">
          <a:noFill/>
        </a:ln>
      </xdr:spPr>
    </xdr:pic>
    <xdr:clientData/>
  </xdr:twoCellAnchor>
  <xdr:twoCellAnchor>
    <xdr:from>
      <xdr:col>12</xdr:col>
      <xdr:colOff>571500</xdr:colOff>
      <xdr:row>146</xdr:row>
      <xdr:rowOff>76200</xdr:rowOff>
    </xdr:from>
    <xdr:to>
      <xdr:col>12</xdr:col>
      <xdr:colOff>1371600</xdr:colOff>
      <xdr:row>147</xdr:row>
      <xdr:rowOff>104775</xdr:rowOff>
    </xdr:to>
    <xdr:pic>
      <xdr:nvPicPr>
        <xdr:cNvPr id="6" name="Picture 6"/>
        <xdr:cNvPicPr preferRelativeResize="1">
          <a:picLocks noChangeAspect="1"/>
        </xdr:cNvPicPr>
      </xdr:nvPicPr>
      <xdr:blipFill>
        <a:blip r:link="rId2"/>
        <a:stretch>
          <a:fillRect/>
        </a:stretch>
      </xdr:blipFill>
      <xdr:spPr>
        <a:xfrm>
          <a:off x="15573375" y="29756100"/>
          <a:ext cx="800100" cy="228600"/>
        </a:xfrm>
        <a:prstGeom prst="rect">
          <a:avLst/>
        </a:prstGeom>
        <a:noFill/>
        <a:ln w="9525" cmpd="sng">
          <a:noFill/>
        </a:ln>
      </xdr:spPr>
    </xdr:pic>
    <xdr:clientData/>
  </xdr:twoCellAnchor>
  <xdr:twoCellAnchor>
    <xdr:from>
      <xdr:col>12</xdr:col>
      <xdr:colOff>523875</xdr:colOff>
      <xdr:row>95</xdr:row>
      <xdr:rowOff>76200</xdr:rowOff>
    </xdr:from>
    <xdr:to>
      <xdr:col>12</xdr:col>
      <xdr:colOff>1323975</xdr:colOff>
      <xdr:row>96</xdr:row>
      <xdr:rowOff>104775</xdr:rowOff>
    </xdr:to>
    <xdr:pic>
      <xdr:nvPicPr>
        <xdr:cNvPr id="7" name="Picture 7"/>
        <xdr:cNvPicPr preferRelativeResize="1">
          <a:picLocks noChangeAspect="1"/>
        </xdr:cNvPicPr>
      </xdr:nvPicPr>
      <xdr:blipFill>
        <a:blip r:link="rId2"/>
        <a:stretch>
          <a:fillRect/>
        </a:stretch>
      </xdr:blipFill>
      <xdr:spPr>
        <a:xfrm>
          <a:off x="15525750" y="19545300"/>
          <a:ext cx="800100" cy="228600"/>
        </a:xfrm>
        <a:prstGeom prst="rect">
          <a:avLst/>
        </a:prstGeom>
        <a:noFill/>
        <a:ln w="9525" cmpd="sng">
          <a:noFill/>
        </a:ln>
      </xdr:spPr>
    </xdr:pic>
    <xdr:clientData/>
  </xdr:twoCellAnchor>
  <xdr:twoCellAnchor>
    <xdr:from>
      <xdr:col>12</xdr:col>
      <xdr:colOff>504825</xdr:colOff>
      <xdr:row>48</xdr:row>
      <xdr:rowOff>47625</xdr:rowOff>
    </xdr:from>
    <xdr:to>
      <xdr:col>12</xdr:col>
      <xdr:colOff>1304925</xdr:colOff>
      <xdr:row>49</xdr:row>
      <xdr:rowOff>76200</xdr:rowOff>
    </xdr:to>
    <xdr:pic>
      <xdr:nvPicPr>
        <xdr:cNvPr id="8" name="Picture 8"/>
        <xdr:cNvPicPr preferRelativeResize="1">
          <a:picLocks noChangeAspect="1"/>
        </xdr:cNvPicPr>
      </xdr:nvPicPr>
      <xdr:blipFill>
        <a:blip r:link="rId2"/>
        <a:stretch>
          <a:fillRect/>
        </a:stretch>
      </xdr:blipFill>
      <xdr:spPr>
        <a:xfrm>
          <a:off x="15506700" y="9705975"/>
          <a:ext cx="800100"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104775</xdr:rowOff>
    </xdr:from>
    <xdr:to>
      <xdr:col>1</xdr:col>
      <xdr:colOff>9525</xdr:colOff>
      <xdr:row>49</xdr:row>
      <xdr:rowOff>142875</xdr:rowOff>
    </xdr:to>
    <xdr:pic>
      <xdr:nvPicPr>
        <xdr:cNvPr id="1" name="Picture 2"/>
        <xdr:cNvPicPr preferRelativeResize="1">
          <a:picLocks noChangeAspect="1"/>
        </xdr:cNvPicPr>
      </xdr:nvPicPr>
      <xdr:blipFill>
        <a:blip r:link="rId1"/>
        <a:stretch>
          <a:fillRect/>
        </a:stretch>
      </xdr:blipFill>
      <xdr:spPr>
        <a:xfrm>
          <a:off x="9525" y="9763125"/>
          <a:ext cx="314325" cy="238125"/>
        </a:xfrm>
        <a:prstGeom prst="rect">
          <a:avLst/>
        </a:prstGeom>
        <a:noFill/>
        <a:ln w="9525" cmpd="sng">
          <a:noFill/>
        </a:ln>
      </xdr:spPr>
    </xdr:pic>
    <xdr:clientData/>
  </xdr:twoCellAnchor>
  <xdr:twoCellAnchor>
    <xdr:from>
      <xdr:col>0</xdr:col>
      <xdr:colOff>57150</xdr:colOff>
      <xdr:row>95</xdr:row>
      <xdr:rowOff>123825</xdr:rowOff>
    </xdr:from>
    <xdr:to>
      <xdr:col>1</xdr:col>
      <xdr:colOff>57150</xdr:colOff>
      <xdr:row>96</xdr:row>
      <xdr:rowOff>161925</xdr:rowOff>
    </xdr:to>
    <xdr:pic>
      <xdr:nvPicPr>
        <xdr:cNvPr id="2" name="Picture 3"/>
        <xdr:cNvPicPr preferRelativeResize="1">
          <a:picLocks noChangeAspect="1"/>
        </xdr:cNvPicPr>
      </xdr:nvPicPr>
      <xdr:blipFill>
        <a:blip r:link="rId1"/>
        <a:stretch>
          <a:fillRect/>
        </a:stretch>
      </xdr:blipFill>
      <xdr:spPr>
        <a:xfrm>
          <a:off x="57150" y="19592925"/>
          <a:ext cx="314325" cy="238125"/>
        </a:xfrm>
        <a:prstGeom prst="rect">
          <a:avLst/>
        </a:prstGeom>
        <a:noFill/>
        <a:ln w="9525" cmpd="sng">
          <a:noFill/>
        </a:ln>
      </xdr:spPr>
    </xdr:pic>
    <xdr:clientData/>
  </xdr:twoCellAnchor>
  <xdr:twoCellAnchor>
    <xdr:from>
      <xdr:col>0</xdr:col>
      <xdr:colOff>47625</xdr:colOff>
      <xdr:row>146</xdr:row>
      <xdr:rowOff>76200</xdr:rowOff>
    </xdr:from>
    <xdr:to>
      <xdr:col>1</xdr:col>
      <xdr:colOff>47625</xdr:colOff>
      <xdr:row>147</xdr:row>
      <xdr:rowOff>114300</xdr:rowOff>
    </xdr:to>
    <xdr:pic>
      <xdr:nvPicPr>
        <xdr:cNvPr id="3" name="Picture 4"/>
        <xdr:cNvPicPr preferRelativeResize="1">
          <a:picLocks noChangeAspect="1"/>
        </xdr:cNvPicPr>
      </xdr:nvPicPr>
      <xdr:blipFill>
        <a:blip r:link="rId1"/>
        <a:stretch>
          <a:fillRect/>
        </a:stretch>
      </xdr:blipFill>
      <xdr:spPr>
        <a:xfrm>
          <a:off x="47625" y="29756100"/>
          <a:ext cx="314325" cy="238125"/>
        </a:xfrm>
        <a:prstGeom prst="rect">
          <a:avLst/>
        </a:prstGeom>
        <a:noFill/>
        <a:ln w="9525" cmpd="sng">
          <a:noFill/>
        </a:ln>
      </xdr:spPr>
    </xdr:pic>
    <xdr:clientData/>
  </xdr:twoCellAnchor>
  <xdr:twoCellAnchor>
    <xdr:from>
      <xdr:col>0</xdr:col>
      <xdr:colOff>0</xdr:colOff>
      <xdr:row>207</xdr:row>
      <xdr:rowOff>76200</xdr:rowOff>
    </xdr:from>
    <xdr:to>
      <xdr:col>1</xdr:col>
      <xdr:colOff>0</xdr:colOff>
      <xdr:row>208</xdr:row>
      <xdr:rowOff>114300</xdr:rowOff>
    </xdr:to>
    <xdr:pic>
      <xdr:nvPicPr>
        <xdr:cNvPr id="4" name="Picture 5"/>
        <xdr:cNvPicPr preferRelativeResize="1">
          <a:picLocks noChangeAspect="1"/>
        </xdr:cNvPicPr>
      </xdr:nvPicPr>
      <xdr:blipFill>
        <a:blip r:link="rId1"/>
        <a:stretch>
          <a:fillRect/>
        </a:stretch>
      </xdr:blipFill>
      <xdr:spPr>
        <a:xfrm>
          <a:off x="0" y="41967150"/>
          <a:ext cx="314325" cy="238125"/>
        </a:xfrm>
        <a:prstGeom prst="rect">
          <a:avLst/>
        </a:prstGeom>
        <a:noFill/>
        <a:ln w="9525" cmpd="sng">
          <a:noFill/>
        </a:ln>
      </xdr:spPr>
    </xdr:pic>
    <xdr:clientData/>
  </xdr:twoCellAnchor>
  <xdr:twoCellAnchor>
    <xdr:from>
      <xdr:col>12</xdr:col>
      <xdr:colOff>723900</xdr:colOff>
      <xdr:row>207</xdr:row>
      <xdr:rowOff>47625</xdr:rowOff>
    </xdr:from>
    <xdr:to>
      <xdr:col>12</xdr:col>
      <xdr:colOff>1524000</xdr:colOff>
      <xdr:row>208</xdr:row>
      <xdr:rowOff>76200</xdr:rowOff>
    </xdr:to>
    <xdr:pic>
      <xdr:nvPicPr>
        <xdr:cNvPr id="5" name="Picture 6"/>
        <xdr:cNvPicPr preferRelativeResize="1">
          <a:picLocks noChangeAspect="1"/>
        </xdr:cNvPicPr>
      </xdr:nvPicPr>
      <xdr:blipFill>
        <a:blip r:link="rId2"/>
        <a:stretch>
          <a:fillRect/>
        </a:stretch>
      </xdr:blipFill>
      <xdr:spPr>
        <a:xfrm>
          <a:off x="15982950" y="41938575"/>
          <a:ext cx="800100" cy="228600"/>
        </a:xfrm>
        <a:prstGeom prst="rect">
          <a:avLst/>
        </a:prstGeom>
        <a:noFill/>
        <a:ln w="9525" cmpd="sng">
          <a:noFill/>
        </a:ln>
      </xdr:spPr>
    </xdr:pic>
    <xdr:clientData/>
  </xdr:twoCellAnchor>
  <xdr:twoCellAnchor>
    <xdr:from>
      <xdr:col>12</xdr:col>
      <xdr:colOff>704850</xdr:colOff>
      <xdr:row>146</xdr:row>
      <xdr:rowOff>76200</xdr:rowOff>
    </xdr:from>
    <xdr:to>
      <xdr:col>12</xdr:col>
      <xdr:colOff>1504950</xdr:colOff>
      <xdr:row>147</xdr:row>
      <xdr:rowOff>104775</xdr:rowOff>
    </xdr:to>
    <xdr:pic>
      <xdr:nvPicPr>
        <xdr:cNvPr id="6" name="Picture 7"/>
        <xdr:cNvPicPr preferRelativeResize="1">
          <a:picLocks noChangeAspect="1"/>
        </xdr:cNvPicPr>
      </xdr:nvPicPr>
      <xdr:blipFill>
        <a:blip r:link="rId2"/>
        <a:stretch>
          <a:fillRect/>
        </a:stretch>
      </xdr:blipFill>
      <xdr:spPr>
        <a:xfrm>
          <a:off x="15963900" y="29756100"/>
          <a:ext cx="800100" cy="228600"/>
        </a:xfrm>
        <a:prstGeom prst="rect">
          <a:avLst/>
        </a:prstGeom>
        <a:noFill/>
        <a:ln w="9525" cmpd="sng">
          <a:noFill/>
        </a:ln>
      </xdr:spPr>
    </xdr:pic>
    <xdr:clientData/>
  </xdr:twoCellAnchor>
  <xdr:twoCellAnchor>
    <xdr:from>
      <xdr:col>12</xdr:col>
      <xdr:colOff>733425</xdr:colOff>
      <xdr:row>95</xdr:row>
      <xdr:rowOff>85725</xdr:rowOff>
    </xdr:from>
    <xdr:to>
      <xdr:col>12</xdr:col>
      <xdr:colOff>1533525</xdr:colOff>
      <xdr:row>96</xdr:row>
      <xdr:rowOff>114300</xdr:rowOff>
    </xdr:to>
    <xdr:pic>
      <xdr:nvPicPr>
        <xdr:cNvPr id="7" name="Picture 8"/>
        <xdr:cNvPicPr preferRelativeResize="1">
          <a:picLocks noChangeAspect="1"/>
        </xdr:cNvPicPr>
      </xdr:nvPicPr>
      <xdr:blipFill>
        <a:blip r:link="rId2"/>
        <a:stretch>
          <a:fillRect/>
        </a:stretch>
      </xdr:blipFill>
      <xdr:spPr>
        <a:xfrm>
          <a:off x="15992475" y="19554825"/>
          <a:ext cx="800100" cy="228600"/>
        </a:xfrm>
        <a:prstGeom prst="rect">
          <a:avLst/>
        </a:prstGeom>
        <a:noFill/>
        <a:ln w="9525" cmpd="sng">
          <a:noFill/>
        </a:ln>
      </xdr:spPr>
    </xdr:pic>
    <xdr:clientData/>
  </xdr:twoCellAnchor>
  <xdr:twoCellAnchor>
    <xdr:from>
      <xdr:col>12</xdr:col>
      <xdr:colOff>704850</xdr:colOff>
      <xdr:row>48</xdr:row>
      <xdr:rowOff>57150</xdr:rowOff>
    </xdr:from>
    <xdr:to>
      <xdr:col>12</xdr:col>
      <xdr:colOff>1504950</xdr:colOff>
      <xdr:row>49</xdr:row>
      <xdr:rowOff>85725</xdr:rowOff>
    </xdr:to>
    <xdr:pic>
      <xdr:nvPicPr>
        <xdr:cNvPr id="8" name="Picture 9"/>
        <xdr:cNvPicPr preferRelativeResize="1">
          <a:picLocks noChangeAspect="1"/>
        </xdr:cNvPicPr>
      </xdr:nvPicPr>
      <xdr:blipFill>
        <a:blip r:link="rId2"/>
        <a:stretch>
          <a:fillRect/>
        </a:stretch>
      </xdr:blipFill>
      <xdr:spPr>
        <a:xfrm>
          <a:off x="15963900" y="9715500"/>
          <a:ext cx="800100" cy="228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133350</xdr:rowOff>
    </xdr:from>
    <xdr:to>
      <xdr:col>1</xdr:col>
      <xdr:colOff>28575</xdr:colOff>
      <xdr:row>49</xdr:row>
      <xdr:rowOff>171450</xdr:rowOff>
    </xdr:to>
    <xdr:pic>
      <xdr:nvPicPr>
        <xdr:cNvPr id="1" name="Picture 2"/>
        <xdr:cNvPicPr preferRelativeResize="1">
          <a:picLocks noChangeAspect="1"/>
        </xdr:cNvPicPr>
      </xdr:nvPicPr>
      <xdr:blipFill>
        <a:blip r:link="rId1"/>
        <a:stretch>
          <a:fillRect/>
        </a:stretch>
      </xdr:blipFill>
      <xdr:spPr>
        <a:xfrm>
          <a:off x="28575" y="9791700"/>
          <a:ext cx="314325" cy="238125"/>
        </a:xfrm>
        <a:prstGeom prst="rect">
          <a:avLst/>
        </a:prstGeom>
        <a:noFill/>
        <a:ln w="9525" cmpd="sng">
          <a:noFill/>
        </a:ln>
      </xdr:spPr>
    </xdr:pic>
    <xdr:clientData/>
  </xdr:twoCellAnchor>
  <xdr:twoCellAnchor>
    <xdr:from>
      <xdr:col>0</xdr:col>
      <xdr:colOff>28575</xdr:colOff>
      <xdr:row>95</xdr:row>
      <xdr:rowOff>104775</xdr:rowOff>
    </xdr:from>
    <xdr:to>
      <xdr:col>1</xdr:col>
      <xdr:colOff>28575</xdr:colOff>
      <xdr:row>96</xdr:row>
      <xdr:rowOff>142875</xdr:rowOff>
    </xdr:to>
    <xdr:pic>
      <xdr:nvPicPr>
        <xdr:cNvPr id="2" name="Picture 3"/>
        <xdr:cNvPicPr preferRelativeResize="1">
          <a:picLocks noChangeAspect="1"/>
        </xdr:cNvPicPr>
      </xdr:nvPicPr>
      <xdr:blipFill>
        <a:blip r:link="rId1"/>
        <a:stretch>
          <a:fillRect/>
        </a:stretch>
      </xdr:blipFill>
      <xdr:spPr>
        <a:xfrm>
          <a:off x="28575" y="19573875"/>
          <a:ext cx="314325" cy="238125"/>
        </a:xfrm>
        <a:prstGeom prst="rect">
          <a:avLst/>
        </a:prstGeom>
        <a:noFill/>
        <a:ln w="9525" cmpd="sng">
          <a:noFill/>
        </a:ln>
      </xdr:spPr>
    </xdr:pic>
    <xdr:clientData/>
  </xdr:twoCellAnchor>
  <xdr:twoCellAnchor>
    <xdr:from>
      <xdr:col>0</xdr:col>
      <xdr:colOff>9525</xdr:colOff>
      <xdr:row>146</xdr:row>
      <xdr:rowOff>104775</xdr:rowOff>
    </xdr:from>
    <xdr:to>
      <xdr:col>1</xdr:col>
      <xdr:colOff>9525</xdr:colOff>
      <xdr:row>147</xdr:row>
      <xdr:rowOff>142875</xdr:rowOff>
    </xdr:to>
    <xdr:pic>
      <xdr:nvPicPr>
        <xdr:cNvPr id="3" name="Picture 4"/>
        <xdr:cNvPicPr preferRelativeResize="1">
          <a:picLocks noChangeAspect="1"/>
        </xdr:cNvPicPr>
      </xdr:nvPicPr>
      <xdr:blipFill>
        <a:blip r:link="rId1"/>
        <a:stretch>
          <a:fillRect/>
        </a:stretch>
      </xdr:blipFill>
      <xdr:spPr>
        <a:xfrm>
          <a:off x="9525" y="29784675"/>
          <a:ext cx="314325" cy="238125"/>
        </a:xfrm>
        <a:prstGeom prst="rect">
          <a:avLst/>
        </a:prstGeom>
        <a:noFill/>
        <a:ln w="9525" cmpd="sng">
          <a:noFill/>
        </a:ln>
      </xdr:spPr>
    </xdr:pic>
    <xdr:clientData/>
  </xdr:twoCellAnchor>
  <xdr:twoCellAnchor>
    <xdr:from>
      <xdr:col>0</xdr:col>
      <xdr:colOff>0</xdr:colOff>
      <xdr:row>207</xdr:row>
      <xdr:rowOff>85725</xdr:rowOff>
    </xdr:from>
    <xdr:to>
      <xdr:col>1</xdr:col>
      <xdr:colOff>0</xdr:colOff>
      <xdr:row>208</xdr:row>
      <xdr:rowOff>123825</xdr:rowOff>
    </xdr:to>
    <xdr:pic>
      <xdr:nvPicPr>
        <xdr:cNvPr id="4" name="Picture 5"/>
        <xdr:cNvPicPr preferRelativeResize="1">
          <a:picLocks noChangeAspect="1"/>
        </xdr:cNvPicPr>
      </xdr:nvPicPr>
      <xdr:blipFill>
        <a:blip r:link="rId1"/>
        <a:stretch>
          <a:fillRect/>
        </a:stretch>
      </xdr:blipFill>
      <xdr:spPr>
        <a:xfrm>
          <a:off x="0" y="41976675"/>
          <a:ext cx="314325" cy="238125"/>
        </a:xfrm>
        <a:prstGeom prst="rect">
          <a:avLst/>
        </a:prstGeom>
        <a:noFill/>
        <a:ln w="9525" cmpd="sng">
          <a:noFill/>
        </a:ln>
      </xdr:spPr>
    </xdr:pic>
    <xdr:clientData/>
  </xdr:twoCellAnchor>
  <xdr:twoCellAnchor>
    <xdr:from>
      <xdr:col>12</xdr:col>
      <xdr:colOff>371475</xdr:colOff>
      <xdr:row>207</xdr:row>
      <xdr:rowOff>85725</xdr:rowOff>
    </xdr:from>
    <xdr:to>
      <xdr:col>12</xdr:col>
      <xdr:colOff>1171575</xdr:colOff>
      <xdr:row>208</xdr:row>
      <xdr:rowOff>114300</xdr:rowOff>
    </xdr:to>
    <xdr:pic>
      <xdr:nvPicPr>
        <xdr:cNvPr id="5" name="Picture 6"/>
        <xdr:cNvPicPr preferRelativeResize="1">
          <a:picLocks noChangeAspect="1"/>
        </xdr:cNvPicPr>
      </xdr:nvPicPr>
      <xdr:blipFill>
        <a:blip r:link="rId2"/>
        <a:stretch>
          <a:fillRect/>
        </a:stretch>
      </xdr:blipFill>
      <xdr:spPr>
        <a:xfrm>
          <a:off x="15630525" y="41976675"/>
          <a:ext cx="800100" cy="228600"/>
        </a:xfrm>
        <a:prstGeom prst="rect">
          <a:avLst/>
        </a:prstGeom>
        <a:noFill/>
        <a:ln w="9525" cmpd="sng">
          <a:noFill/>
        </a:ln>
      </xdr:spPr>
    </xdr:pic>
    <xdr:clientData/>
  </xdr:twoCellAnchor>
  <xdr:twoCellAnchor>
    <xdr:from>
      <xdr:col>12</xdr:col>
      <xdr:colOff>371475</xdr:colOff>
      <xdr:row>146</xdr:row>
      <xdr:rowOff>104775</xdr:rowOff>
    </xdr:from>
    <xdr:to>
      <xdr:col>12</xdr:col>
      <xdr:colOff>1171575</xdr:colOff>
      <xdr:row>147</xdr:row>
      <xdr:rowOff>133350</xdr:rowOff>
    </xdr:to>
    <xdr:pic>
      <xdr:nvPicPr>
        <xdr:cNvPr id="6" name="Picture 7"/>
        <xdr:cNvPicPr preferRelativeResize="1">
          <a:picLocks noChangeAspect="1"/>
        </xdr:cNvPicPr>
      </xdr:nvPicPr>
      <xdr:blipFill>
        <a:blip r:link="rId2"/>
        <a:stretch>
          <a:fillRect/>
        </a:stretch>
      </xdr:blipFill>
      <xdr:spPr>
        <a:xfrm>
          <a:off x="15630525" y="29784675"/>
          <a:ext cx="800100" cy="228600"/>
        </a:xfrm>
        <a:prstGeom prst="rect">
          <a:avLst/>
        </a:prstGeom>
        <a:noFill/>
        <a:ln w="9525" cmpd="sng">
          <a:noFill/>
        </a:ln>
      </xdr:spPr>
    </xdr:pic>
    <xdr:clientData/>
  </xdr:twoCellAnchor>
  <xdr:twoCellAnchor>
    <xdr:from>
      <xdr:col>12</xdr:col>
      <xdr:colOff>485775</xdr:colOff>
      <xdr:row>95</xdr:row>
      <xdr:rowOff>76200</xdr:rowOff>
    </xdr:from>
    <xdr:to>
      <xdr:col>12</xdr:col>
      <xdr:colOff>1285875</xdr:colOff>
      <xdr:row>96</xdr:row>
      <xdr:rowOff>104775</xdr:rowOff>
    </xdr:to>
    <xdr:pic>
      <xdr:nvPicPr>
        <xdr:cNvPr id="7" name="Picture 8"/>
        <xdr:cNvPicPr preferRelativeResize="1">
          <a:picLocks noChangeAspect="1"/>
        </xdr:cNvPicPr>
      </xdr:nvPicPr>
      <xdr:blipFill>
        <a:blip r:link="rId2"/>
        <a:stretch>
          <a:fillRect/>
        </a:stretch>
      </xdr:blipFill>
      <xdr:spPr>
        <a:xfrm>
          <a:off x="15744825" y="19545300"/>
          <a:ext cx="800100" cy="228600"/>
        </a:xfrm>
        <a:prstGeom prst="rect">
          <a:avLst/>
        </a:prstGeom>
        <a:noFill/>
        <a:ln w="9525" cmpd="sng">
          <a:noFill/>
        </a:ln>
      </xdr:spPr>
    </xdr:pic>
    <xdr:clientData/>
  </xdr:twoCellAnchor>
  <xdr:twoCellAnchor>
    <xdr:from>
      <xdr:col>12</xdr:col>
      <xdr:colOff>447675</xdr:colOff>
      <xdr:row>48</xdr:row>
      <xdr:rowOff>85725</xdr:rowOff>
    </xdr:from>
    <xdr:to>
      <xdr:col>12</xdr:col>
      <xdr:colOff>1247775</xdr:colOff>
      <xdr:row>49</xdr:row>
      <xdr:rowOff>114300</xdr:rowOff>
    </xdr:to>
    <xdr:pic>
      <xdr:nvPicPr>
        <xdr:cNvPr id="8" name="Picture 9"/>
        <xdr:cNvPicPr preferRelativeResize="1">
          <a:picLocks noChangeAspect="1"/>
        </xdr:cNvPicPr>
      </xdr:nvPicPr>
      <xdr:blipFill>
        <a:blip r:link="rId2"/>
        <a:stretch>
          <a:fillRect/>
        </a:stretch>
      </xdr:blipFill>
      <xdr:spPr>
        <a:xfrm>
          <a:off x="15706725" y="9744075"/>
          <a:ext cx="800100" cy="228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48</xdr:row>
      <xdr:rowOff>104775</xdr:rowOff>
    </xdr:from>
    <xdr:to>
      <xdr:col>1</xdr:col>
      <xdr:colOff>47625</xdr:colOff>
      <xdr:row>49</xdr:row>
      <xdr:rowOff>142875</xdr:rowOff>
    </xdr:to>
    <xdr:pic>
      <xdr:nvPicPr>
        <xdr:cNvPr id="1" name="Picture 1"/>
        <xdr:cNvPicPr preferRelativeResize="1">
          <a:picLocks noChangeAspect="1"/>
        </xdr:cNvPicPr>
      </xdr:nvPicPr>
      <xdr:blipFill>
        <a:blip r:link="rId1"/>
        <a:stretch>
          <a:fillRect/>
        </a:stretch>
      </xdr:blipFill>
      <xdr:spPr>
        <a:xfrm>
          <a:off x="47625" y="9763125"/>
          <a:ext cx="314325" cy="238125"/>
        </a:xfrm>
        <a:prstGeom prst="rect">
          <a:avLst/>
        </a:prstGeom>
        <a:noFill/>
        <a:ln w="9525" cmpd="sng">
          <a:noFill/>
        </a:ln>
      </xdr:spPr>
    </xdr:pic>
    <xdr:clientData/>
  </xdr:twoCellAnchor>
  <xdr:twoCellAnchor>
    <xdr:from>
      <xdr:col>0</xdr:col>
      <xdr:colOff>19050</xdr:colOff>
      <xdr:row>95</xdr:row>
      <xdr:rowOff>123825</xdr:rowOff>
    </xdr:from>
    <xdr:to>
      <xdr:col>1</xdr:col>
      <xdr:colOff>19050</xdr:colOff>
      <xdr:row>96</xdr:row>
      <xdr:rowOff>161925</xdr:rowOff>
    </xdr:to>
    <xdr:pic>
      <xdr:nvPicPr>
        <xdr:cNvPr id="2" name="Picture 2"/>
        <xdr:cNvPicPr preferRelativeResize="1">
          <a:picLocks noChangeAspect="1"/>
        </xdr:cNvPicPr>
      </xdr:nvPicPr>
      <xdr:blipFill>
        <a:blip r:link="rId1"/>
        <a:stretch>
          <a:fillRect/>
        </a:stretch>
      </xdr:blipFill>
      <xdr:spPr>
        <a:xfrm>
          <a:off x="19050" y="19592925"/>
          <a:ext cx="314325" cy="238125"/>
        </a:xfrm>
        <a:prstGeom prst="rect">
          <a:avLst/>
        </a:prstGeom>
        <a:noFill/>
        <a:ln w="9525" cmpd="sng">
          <a:noFill/>
        </a:ln>
      </xdr:spPr>
    </xdr:pic>
    <xdr:clientData/>
  </xdr:twoCellAnchor>
  <xdr:twoCellAnchor>
    <xdr:from>
      <xdr:col>0</xdr:col>
      <xdr:colOff>0</xdr:colOff>
      <xdr:row>146</xdr:row>
      <xdr:rowOff>104775</xdr:rowOff>
    </xdr:from>
    <xdr:to>
      <xdr:col>1</xdr:col>
      <xdr:colOff>0</xdr:colOff>
      <xdr:row>147</xdr:row>
      <xdr:rowOff>142875</xdr:rowOff>
    </xdr:to>
    <xdr:pic>
      <xdr:nvPicPr>
        <xdr:cNvPr id="3" name="Picture 3"/>
        <xdr:cNvPicPr preferRelativeResize="1">
          <a:picLocks noChangeAspect="1"/>
        </xdr:cNvPicPr>
      </xdr:nvPicPr>
      <xdr:blipFill>
        <a:blip r:link="rId1"/>
        <a:stretch>
          <a:fillRect/>
        </a:stretch>
      </xdr:blipFill>
      <xdr:spPr>
        <a:xfrm>
          <a:off x="0" y="29784675"/>
          <a:ext cx="314325" cy="238125"/>
        </a:xfrm>
        <a:prstGeom prst="rect">
          <a:avLst/>
        </a:prstGeom>
        <a:noFill/>
        <a:ln w="9525" cmpd="sng">
          <a:noFill/>
        </a:ln>
      </xdr:spPr>
    </xdr:pic>
    <xdr:clientData/>
  </xdr:twoCellAnchor>
  <xdr:twoCellAnchor>
    <xdr:from>
      <xdr:col>0</xdr:col>
      <xdr:colOff>0</xdr:colOff>
      <xdr:row>207</xdr:row>
      <xdr:rowOff>85725</xdr:rowOff>
    </xdr:from>
    <xdr:to>
      <xdr:col>1</xdr:col>
      <xdr:colOff>0</xdr:colOff>
      <xdr:row>208</xdr:row>
      <xdr:rowOff>123825</xdr:rowOff>
    </xdr:to>
    <xdr:pic>
      <xdr:nvPicPr>
        <xdr:cNvPr id="4" name="Picture 4"/>
        <xdr:cNvPicPr preferRelativeResize="1">
          <a:picLocks noChangeAspect="1"/>
        </xdr:cNvPicPr>
      </xdr:nvPicPr>
      <xdr:blipFill>
        <a:blip r:link="rId1"/>
        <a:stretch>
          <a:fillRect/>
        </a:stretch>
      </xdr:blipFill>
      <xdr:spPr>
        <a:xfrm>
          <a:off x="0" y="41976675"/>
          <a:ext cx="314325" cy="238125"/>
        </a:xfrm>
        <a:prstGeom prst="rect">
          <a:avLst/>
        </a:prstGeom>
        <a:noFill/>
        <a:ln w="9525" cmpd="sng">
          <a:noFill/>
        </a:ln>
      </xdr:spPr>
    </xdr:pic>
    <xdr:clientData/>
  </xdr:twoCellAnchor>
  <xdr:twoCellAnchor>
    <xdr:from>
      <xdr:col>11</xdr:col>
      <xdr:colOff>1314450</xdr:colOff>
      <xdr:row>207</xdr:row>
      <xdr:rowOff>76200</xdr:rowOff>
    </xdr:from>
    <xdr:to>
      <xdr:col>12</xdr:col>
      <xdr:colOff>771525</xdr:colOff>
      <xdr:row>208</xdr:row>
      <xdr:rowOff>104775</xdr:rowOff>
    </xdr:to>
    <xdr:pic>
      <xdr:nvPicPr>
        <xdr:cNvPr id="5" name="Picture 5"/>
        <xdr:cNvPicPr preferRelativeResize="1">
          <a:picLocks noChangeAspect="1"/>
        </xdr:cNvPicPr>
      </xdr:nvPicPr>
      <xdr:blipFill>
        <a:blip r:link="rId2"/>
        <a:stretch>
          <a:fillRect/>
        </a:stretch>
      </xdr:blipFill>
      <xdr:spPr>
        <a:xfrm>
          <a:off x="15230475" y="41967150"/>
          <a:ext cx="800100" cy="228600"/>
        </a:xfrm>
        <a:prstGeom prst="rect">
          <a:avLst/>
        </a:prstGeom>
        <a:noFill/>
        <a:ln w="9525" cmpd="sng">
          <a:noFill/>
        </a:ln>
      </xdr:spPr>
    </xdr:pic>
    <xdr:clientData/>
  </xdr:twoCellAnchor>
  <xdr:twoCellAnchor>
    <xdr:from>
      <xdr:col>12</xdr:col>
      <xdr:colOff>9525</xdr:colOff>
      <xdr:row>146</xdr:row>
      <xdr:rowOff>95250</xdr:rowOff>
    </xdr:from>
    <xdr:to>
      <xdr:col>12</xdr:col>
      <xdr:colOff>809625</xdr:colOff>
      <xdr:row>147</xdr:row>
      <xdr:rowOff>123825</xdr:rowOff>
    </xdr:to>
    <xdr:pic>
      <xdr:nvPicPr>
        <xdr:cNvPr id="6" name="Picture 6"/>
        <xdr:cNvPicPr preferRelativeResize="1">
          <a:picLocks noChangeAspect="1"/>
        </xdr:cNvPicPr>
      </xdr:nvPicPr>
      <xdr:blipFill>
        <a:blip r:link="rId2"/>
        <a:stretch>
          <a:fillRect/>
        </a:stretch>
      </xdr:blipFill>
      <xdr:spPr>
        <a:xfrm>
          <a:off x="15268575" y="29775150"/>
          <a:ext cx="800100" cy="228600"/>
        </a:xfrm>
        <a:prstGeom prst="rect">
          <a:avLst/>
        </a:prstGeom>
        <a:noFill/>
        <a:ln w="9525" cmpd="sng">
          <a:noFill/>
        </a:ln>
      </xdr:spPr>
    </xdr:pic>
    <xdr:clientData/>
  </xdr:twoCellAnchor>
  <xdr:twoCellAnchor>
    <xdr:from>
      <xdr:col>11</xdr:col>
      <xdr:colOff>1333500</xdr:colOff>
      <xdr:row>95</xdr:row>
      <xdr:rowOff>47625</xdr:rowOff>
    </xdr:from>
    <xdr:to>
      <xdr:col>12</xdr:col>
      <xdr:colOff>790575</xdr:colOff>
      <xdr:row>96</xdr:row>
      <xdr:rowOff>76200</xdr:rowOff>
    </xdr:to>
    <xdr:pic>
      <xdr:nvPicPr>
        <xdr:cNvPr id="7" name="Picture 7"/>
        <xdr:cNvPicPr preferRelativeResize="1">
          <a:picLocks noChangeAspect="1"/>
        </xdr:cNvPicPr>
      </xdr:nvPicPr>
      <xdr:blipFill>
        <a:blip r:link="rId2"/>
        <a:stretch>
          <a:fillRect/>
        </a:stretch>
      </xdr:blipFill>
      <xdr:spPr>
        <a:xfrm>
          <a:off x="15249525" y="19516725"/>
          <a:ext cx="800100" cy="228600"/>
        </a:xfrm>
        <a:prstGeom prst="rect">
          <a:avLst/>
        </a:prstGeom>
        <a:noFill/>
        <a:ln w="9525" cmpd="sng">
          <a:noFill/>
        </a:ln>
      </xdr:spPr>
    </xdr:pic>
    <xdr:clientData/>
  </xdr:twoCellAnchor>
  <xdr:twoCellAnchor>
    <xdr:from>
      <xdr:col>11</xdr:col>
      <xdr:colOff>1314450</xdr:colOff>
      <xdr:row>48</xdr:row>
      <xdr:rowOff>47625</xdr:rowOff>
    </xdr:from>
    <xdr:to>
      <xdr:col>12</xdr:col>
      <xdr:colOff>771525</xdr:colOff>
      <xdr:row>49</xdr:row>
      <xdr:rowOff>76200</xdr:rowOff>
    </xdr:to>
    <xdr:pic>
      <xdr:nvPicPr>
        <xdr:cNvPr id="8" name="Picture 8"/>
        <xdr:cNvPicPr preferRelativeResize="1">
          <a:picLocks noChangeAspect="1"/>
        </xdr:cNvPicPr>
      </xdr:nvPicPr>
      <xdr:blipFill>
        <a:blip r:link="rId2"/>
        <a:stretch>
          <a:fillRect/>
        </a:stretch>
      </xdr:blipFill>
      <xdr:spPr>
        <a:xfrm>
          <a:off x="15230475" y="9705975"/>
          <a:ext cx="800100" cy="228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123825</xdr:rowOff>
    </xdr:from>
    <xdr:to>
      <xdr:col>1</xdr:col>
      <xdr:colOff>0</xdr:colOff>
      <xdr:row>49</xdr:row>
      <xdr:rowOff>161925</xdr:rowOff>
    </xdr:to>
    <xdr:pic>
      <xdr:nvPicPr>
        <xdr:cNvPr id="1" name="Picture 1"/>
        <xdr:cNvPicPr preferRelativeResize="1">
          <a:picLocks noChangeAspect="1"/>
        </xdr:cNvPicPr>
      </xdr:nvPicPr>
      <xdr:blipFill>
        <a:blip r:link="rId1"/>
        <a:stretch>
          <a:fillRect/>
        </a:stretch>
      </xdr:blipFill>
      <xdr:spPr>
        <a:xfrm>
          <a:off x="0" y="9782175"/>
          <a:ext cx="314325" cy="238125"/>
        </a:xfrm>
        <a:prstGeom prst="rect">
          <a:avLst/>
        </a:prstGeom>
        <a:noFill/>
        <a:ln w="9525" cmpd="sng">
          <a:noFill/>
        </a:ln>
      </xdr:spPr>
    </xdr:pic>
    <xdr:clientData/>
  </xdr:twoCellAnchor>
  <xdr:twoCellAnchor>
    <xdr:from>
      <xdr:col>0</xdr:col>
      <xdr:colOff>0</xdr:colOff>
      <xdr:row>95</xdr:row>
      <xdr:rowOff>76200</xdr:rowOff>
    </xdr:from>
    <xdr:to>
      <xdr:col>1</xdr:col>
      <xdr:colOff>0</xdr:colOff>
      <xdr:row>96</xdr:row>
      <xdr:rowOff>114300</xdr:rowOff>
    </xdr:to>
    <xdr:pic>
      <xdr:nvPicPr>
        <xdr:cNvPr id="2" name="Picture 2"/>
        <xdr:cNvPicPr preferRelativeResize="1">
          <a:picLocks noChangeAspect="1"/>
        </xdr:cNvPicPr>
      </xdr:nvPicPr>
      <xdr:blipFill>
        <a:blip r:link="rId1"/>
        <a:stretch>
          <a:fillRect/>
        </a:stretch>
      </xdr:blipFill>
      <xdr:spPr>
        <a:xfrm>
          <a:off x="0" y="19545300"/>
          <a:ext cx="314325" cy="238125"/>
        </a:xfrm>
        <a:prstGeom prst="rect">
          <a:avLst/>
        </a:prstGeom>
        <a:noFill/>
        <a:ln w="9525" cmpd="sng">
          <a:noFill/>
        </a:ln>
      </xdr:spPr>
    </xdr:pic>
    <xdr:clientData/>
  </xdr:twoCellAnchor>
  <xdr:twoCellAnchor>
    <xdr:from>
      <xdr:col>0</xdr:col>
      <xdr:colOff>0</xdr:colOff>
      <xdr:row>146</xdr:row>
      <xdr:rowOff>85725</xdr:rowOff>
    </xdr:from>
    <xdr:to>
      <xdr:col>1</xdr:col>
      <xdr:colOff>0</xdr:colOff>
      <xdr:row>147</xdr:row>
      <xdr:rowOff>123825</xdr:rowOff>
    </xdr:to>
    <xdr:pic>
      <xdr:nvPicPr>
        <xdr:cNvPr id="3" name="Picture 4"/>
        <xdr:cNvPicPr preferRelativeResize="1">
          <a:picLocks noChangeAspect="1"/>
        </xdr:cNvPicPr>
      </xdr:nvPicPr>
      <xdr:blipFill>
        <a:blip r:link="rId1"/>
        <a:stretch>
          <a:fillRect/>
        </a:stretch>
      </xdr:blipFill>
      <xdr:spPr>
        <a:xfrm>
          <a:off x="0" y="29765625"/>
          <a:ext cx="314325" cy="238125"/>
        </a:xfrm>
        <a:prstGeom prst="rect">
          <a:avLst/>
        </a:prstGeom>
        <a:noFill/>
        <a:ln w="9525" cmpd="sng">
          <a:noFill/>
        </a:ln>
      </xdr:spPr>
    </xdr:pic>
    <xdr:clientData/>
  </xdr:twoCellAnchor>
  <xdr:twoCellAnchor>
    <xdr:from>
      <xdr:col>0</xdr:col>
      <xdr:colOff>9525</xdr:colOff>
      <xdr:row>207</xdr:row>
      <xdr:rowOff>47625</xdr:rowOff>
    </xdr:from>
    <xdr:to>
      <xdr:col>1</xdr:col>
      <xdr:colOff>9525</xdr:colOff>
      <xdr:row>208</xdr:row>
      <xdr:rowOff>85725</xdr:rowOff>
    </xdr:to>
    <xdr:pic>
      <xdr:nvPicPr>
        <xdr:cNvPr id="4" name="Picture 5"/>
        <xdr:cNvPicPr preferRelativeResize="1">
          <a:picLocks noChangeAspect="1"/>
        </xdr:cNvPicPr>
      </xdr:nvPicPr>
      <xdr:blipFill>
        <a:blip r:link="rId1"/>
        <a:stretch>
          <a:fillRect/>
        </a:stretch>
      </xdr:blipFill>
      <xdr:spPr>
        <a:xfrm>
          <a:off x="9525" y="41938575"/>
          <a:ext cx="314325" cy="238125"/>
        </a:xfrm>
        <a:prstGeom prst="rect">
          <a:avLst/>
        </a:prstGeom>
        <a:noFill/>
        <a:ln w="9525" cmpd="sng">
          <a:noFill/>
        </a:ln>
      </xdr:spPr>
    </xdr:pic>
    <xdr:clientData/>
  </xdr:twoCellAnchor>
  <xdr:twoCellAnchor>
    <xdr:from>
      <xdr:col>11</xdr:col>
      <xdr:colOff>1238250</xdr:colOff>
      <xdr:row>207</xdr:row>
      <xdr:rowOff>28575</xdr:rowOff>
    </xdr:from>
    <xdr:to>
      <xdr:col>12</xdr:col>
      <xdr:colOff>695325</xdr:colOff>
      <xdr:row>208</xdr:row>
      <xdr:rowOff>57150</xdr:rowOff>
    </xdr:to>
    <xdr:pic>
      <xdr:nvPicPr>
        <xdr:cNvPr id="5" name="Picture 6"/>
        <xdr:cNvPicPr preferRelativeResize="1">
          <a:picLocks noChangeAspect="1"/>
        </xdr:cNvPicPr>
      </xdr:nvPicPr>
      <xdr:blipFill>
        <a:blip r:link="rId2"/>
        <a:stretch>
          <a:fillRect/>
        </a:stretch>
      </xdr:blipFill>
      <xdr:spPr>
        <a:xfrm>
          <a:off x="15154275" y="41919525"/>
          <a:ext cx="800100" cy="228600"/>
        </a:xfrm>
        <a:prstGeom prst="rect">
          <a:avLst/>
        </a:prstGeom>
        <a:noFill/>
        <a:ln w="9525" cmpd="sng">
          <a:noFill/>
        </a:ln>
      </xdr:spPr>
    </xdr:pic>
    <xdr:clientData/>
  </xdr:twoCellAnchor>
  <xdr:twoCellAnchor>
    <xdr:from>
      <xdr:col>11</xdr:col>
      <xdr:colOff>1276350</xdr:colOff>
      <xdr:row>146</xdr:row>
      <xdr:rowOff>85725</xdr:rowOff>
    </xdr:from>
    <xdr:to>
      <xdr:col>12</xdr:col>
      <xdr:colOff>733425</xdr:colOff>
      <xdr:row>147</xdr:row>
      <xdr:rowOff>114300</xdr:rowOff>
    </xdr:to>
    <xdr:pic>
      <xdr:nvPicPr>
        <xdr:cNvPr id="6" name="Picture 7"/>
        <xdr:cNvPicPr preferRelativeResize="1">
          <a:picLocks noChangeAspect="1"/>
        </xdr:cNvPicPr>
      </xdr:nvPicPr>
      <xdr:blipFill>
        <a:blip r:link="rId2"/>
        <a:stretch>
          <a:fillRect/>
        </a:stretch>
      </xdr:blipFill>
      <xdr:spPr>
        <a:xfrm>
          <a:off x="15192375" y="29765625"/>
          <a:ext cx="800100" cy="228600"/>
        </a:xfrm>
        <a:prstGeom prst="rect">
          <a:avLst/>
        </a:prstGeom>
        <a:noFill/>
        <a:ln w="9525" cmpd="sng">
          <a:noFill/>
        </a:ln>
      </xdr:spPr>
    </xdr:pic>
    <xdr:clientData/>
  </xdr:twoCellAnchor>
  <xdr:twoCellAnchor>
    <xdr:from>
      <xdr:col>11</xdr:col>
      <xdr:colOff>1276350</xdr:colOff>
      <xdr:row>95</xdr:row>
      <xdr:rowOff>28575</xdr:rowOff>
    </xdr:from>
    <xdr:to>
      <xdr:col>12</xdr:col>
      <xdr:colOff>733425</xdr:colOff>
      <xdr:row>96</xdr:row>
      <xdr:rowOff>57150</xdr:rowOff>
    </xdr:to>
    <xdr:pic>
      <xdr:nvPicPr>
        <xdr:cNvPr id="7" name="Picture 8"/>
        <xdr:cNvPicPr preferRelativeResize="1">
          <a:picLocks noChangeAspect="1"/>
        </xdr:cNvPicPr>
      </xdr:nvPicPr>
      <xdr:blipFill>
        <a:blip r:link="rId2"/>
        <a:stretch>
          <a:fillRect/>
        </a:stretch>
      </xdr:blipFill>
      <xdr:spPr>
        <a:xfrm>
          <a:off x="15192375" y="19497675"/>
          <a:ext cx="800100" cy="228600"/>
        </a:xfrm>
        <a:prstGeom prst="rect">
          <a:avLst/>
        </a:prstGeom>
        <a:noFill/>
        <a:ln w="9525" cmpd="sng">
          <a:noFill/>
        </a:ln>
      </xdr:spPr>
    </xdr:pic>
    <xdr:clientData/>
  </xdr:twoCellAnchor>
  <xdr:twoCellAnchor>
    <xdr:from>
      <xdr:col>11</xdr:col>
      <xdr:colOff>1276350</xdr:colOff>
      <xdr:row>48</xdr:row>
      <xdr:rowOff>66675</xdr:rowOff>
    </xdr:from>
    <xdr:to>
      <xdr:col>12</xdr:col>
      <xdr:colOff>733425</xdr:colOff>
      <xdr:row>49</xdr:row>
      <xdr:rowOff>95250</xdr:rowOff>
    </xdr:to>
    <xdr:pic>
      <xdr:nvPicPr>
        <xdr:cNvPr id="8" name="Picture 9"/>
        <xdr:cNvPicPr preferRelativeResize="1">
          <a:picLocks noChangeAspect="1"/>
        </xdr:cNvPicPr>
      </xdr:nvPicPr>
      <xdr:blipFill>
        <a:blip r:link="rId2"/>
        <a:stretch>
          <a:fillRect/>
        </a:stretch>
      </xdr:blipFill>
      <xdr:spPr>
        <a:xfrm>
          <a:off x="15192375" y="9725025"/>
          <a:ext cx="800100" cy="228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76200</xdr:rowOff>
    </xdr:from>
    <xdr:to>
      <xdr:col>1</xdr:col>
      <xdr:colOff>0</xdr:colOff>
      <xdr:row>49</xdr:row>
      <xdr:rowOff>114300</xdr:rowOff>
    </xdr:to>
    <xdr:pic>
      <xdr:nvPicPr>
        <xdr:cNvPr id="1" name="Picture 1"/>
        <xdr:cNvPicPr preferRelativeResize="1">
          <a:picLocks noChangeAspect="1"/>
        </xdr:cNvPicPr>
      </xdr:nvPicPr>
      <xdr:blipFill>
        <a:blip r:link="rId1"/>
        <a:stretch>
          <a:fillRect/>
        </a:stretch>
      </xdr:blipFill>
      <xdr:spPr>
        <a:xfrm>
          <a:off x="0" y="9734550"/>
          <a:ext cx="314325" cy="238125"/>
        </a:xfrm>
        <a:prstGeom prst="rect">
          <a:avLst/>
        </a:prstGeom>
        <a:noFill/>
        <a:ln w="9525" cmpd="sng">
          <a:noFill/>
        </a:ln>
      </xdr:spPr>
    </xdr:pic>
    <xdr:clientData/>
  </xdr:twoCellAnchor>
  <xdr:twoCellAnchor>
    <xdr:from>
      <xdr:col>0</xdr:col>
      <xdr:colOff>47625</xdr:colOff>
      <xdr:row>95</xdr:row>
      <xdr:rowOff>85725</xdr:rowOff>
    </xdr:from>
    <xdr:to>
      <xdr:col>1</xdr:col>
      <xdr:colOff>47625</xdr:colOff>
      <xdr:row>96</xdr:row>
      <xdr:rowOff>123825</xdr:rowOff>
    </xdr:to>
    <xdr:pic>
      <xdr:nvPicPr>
        <xdr:cNvPr id="2" name="Picture 2"/>
        <xdr:cNvPicPr preferRelativeResize="1">
          <a:picLocks noChangeAspect="1"/>
        </xdr:cNvPicPr>
      </xdr:nvPicPr>
      <xdr:blipFill>
        <a:blip r:link="rId1"/>
        <a:stretch>
          <a:fillRect/>
        </a:stretch>
      </xdr:blipFill>
      <xdr:spPr>
        <a:xfrm>
          <a:off x="47625" y="19554825"/>
          <a:ext cx="314325" cy="238125"/>
        </a:xfrm>
        <a:prstGeom prst="rect">
          <a:avLst/>
        </a:prstGeom>
        <a:noFill/>
        <a:ln w="9525" cmpd="sng">
          <a:noFill/>
        </a:ln>
      </xdr:spPr>
    </xdr:pic>
    <xdr:clientData/>
  </xdr:twoCellAnchor>
  <xdr:twoCellAnchor>
    <xdr:from>
      <xdr:col>0</xdr:col>
      <xdr:colOff>0</xdr:colOff>
      <xdr:row>146</xdr:row>
      <xdr:rowOff>95250</xdr:rowOff>
    </xdr:from>
    <xdr:to>
      <xdr:col>1</xdr:col>
      <xdr:colOff>0</xdr:colOff>
      <xdr:row>147</xdr:row>
      <xdr:rowOff>133350</xdr:rowOff>
    </xdr:to>
    <xdr:pic>
      <xdr:nvPicPr>
        <xdr:cNvPr id="3" name="Picture 3"/>
        <xdr:cNvPicPr preferRelativeResize="1">
          <a:picLocks noChangeAspect="1"/>
        </xdr:cNvPicPr>
      </xdr:nvPicPr>
      <xdr:blipFill>
        <a:blip r:link="rId1"/>
        <a:stretch>
          <a:fillRect/>
        </a:stretch>
      </xdr:blipFill>
      <xdr:spPr>
        <a:xfrm>
          <a:off x="0" y="29775150"/>
          <a:ext cx="314325" cy="238125"/>
        </a:xfrm>
        <a:prstGeom prst="rect">
          <a:avLst/>
        </a:prstGeom>
        <a:noFill/>
        <a:ln w="9525" cmpd="sng">
          <a:noFill/>
        </a:ln>
      </xdr:spPr>
    </xdr:pic>
    <xdr:clientData/>
  </xdr:twoCellAnchor>
  <xdr:twoCellAnchor>
    <xdr:from>
      <xdr:col>0</xdr:col>
      <xdr:colOff>0</xdr:colOff>
      <xdr:row>207</xdr:row>
      <xdr:rowOff>57150</xdr:rowOff>
    </xdr:from>
    <xdr:to>
      <xdr:col>1</xdr:col>
      <xdr:colOff>0</xdr:colOff>
      <xdr:row>208</xdr:row>
      <xdr:rowOff>95250</xdr:rowOff>
    </xdr:to>
    <xdr:pic>
      <xdr:nvPicPr>
        <xdr:cNvPr id="4" name="Picture 4"/>
        <xdr:cNvPicPr preferRelativeResize="1">
          <a:picLocks noChangeAspect="1"/>
        </xdr:cNvPicPr>
      </xdr:nvPicPr>
      <xdr:blipFill>
        <a:blip r:link="rId1"/>
        <a:stretch>
          <a:fillRect/>
        </a:stretch>
      </xdr:blipFill>
      <xdr:spPr>
        <a:xfrm>
          <a:off x="0" y="41948100"/>
          <a:ext cx="314325" cy="238125"/>
        </a:xfrm>
        <a:prstGeom prst="rect">
          <a:avLst/>
        </a:prstGeom>
        <a:noFill/>
        <a:ln w="9525" cmpd="sng">
          <a:noFill/>
        </a:ln>
      </xdr:spPr>
    </xdr:pic>
    <xdr:clientData/>
  </xdr:twoCellAnchor>
  <xdr:twoCellAnchor>
    <xdr:from>
      <xdr:col>12</xdr:col>
      <xdr:colOff>66675</xdr:colOff>
      <xdr:row>207</xdr:row>
      <xdr:rowOff>76200</xdr:rowOff>
    </xdr:from>
    <xdr:to>
      <xdr:col>12</xdr:col>
      <xdr:colOff>866775</xdr:colOff>
      <xdr:row>208</xdr:row>
      <xdr:rowOff>104775</xdr:rowOff>
    </xdr:to>
    <xdr:pic>
      <xdr:nvPicPr>
        <xdr:cNvPr id="5" name="Picture 5"/>
        <xdr:cNvPicPr preferRelativeResize="1">
          <a:picLocks noChangeAspect="1"/>
        </xdr:cNvPicPr>
      </xdr:nvPicPr>
      <xdr:blipFill>
        <a:blip r:link="rId2"/>
        <a:stretch>
          <a:fillRect/>
        </a:stretch>
      </xdr:blipFill>
      <xdr:spPr>
        <a:xfrm>
          <a:off x="15325725" y="41967150"/>
          <a:ext cx="800100" cy="228600"/>
        </a:xfrm>
        <a:prstGeom prst="rect">
          <a:avLst/>
        </a:prstGeom>
        <a:noFill/>
        <a:ln w="9525" cmpd="sng">
          <a:noFill/>
        </a:ln>
      </xdr:spPr>
    </xdr:pic>
    <xdr:clientData/>
  </xdr:twoCellAnchor>
  <xdr:twoCellAnchor>
    <xdr:from>
      <xdr:col>12</xdr:col>
      <xdr:colOff>85725</xdr:colOff>
      <xdr:row>146</xdr:row>
      <xdr:rowOff>66675</xdr:rowOff>
    </xdr:from>
    <xdr:to>
      <xdr:col>12</xdr:col>
      <xdr:colOff>885825</xdr:colOff>
      <xdr:row>147</xdr:row>
      <xdr:rowOff>95250</xdr:rowOff>
    </xdr:to>
    <xdr:pic>
      <xdr:nvPicPr>
        <xdr:cNvPr id="6" name="Picture 6"/>
        <xdr:cNvPicPr preferRelativeResize="1">
          <a:picLocks noChangeAspect="1"/>
        </xdr:cNvPicPr>
      </xdr:nvPicPr>
      <xdr:blipFill>
        <a:blip r:link="rId2"/>
        <a:stretch>
          <a:fillRect/>
        </a:stretch>
      </xdr:blipFill>
      <xdr:spPr>
        <a:xfrm>
          <a:off x="15344775" y="29746575"/>
          <a:ext cx="800100" cy="228600"/>
        </a:xfrm>
        <a:prstGeom prst="rect">
          <a:avLst/>
        </a:prstGeom>
        <a:noFill/>
        <a:ln w="9525" cmpd="sng">
          <a:noFill/>
        </a:ln>
      </xdr:spPr>
    </xdr:pic>
    <xdr:clientData/>
  </xdr:twoCellAnchor>
  <xdr:twoCellAnchor>
    <xdr:from>
      <xdr:col>12</xdr:col>
      <xdr:colOff>142875</xdr:colOff>
      <xdr:row>95</xdr:row>
      <xdr:rowOff>76200</xdr:rowOff>
    </xdr:from>
    <xdr:to>
      <xdr:col>12</xdr:col>
      <xdr:colOff>942975</xdr:colOff>
      <xdr:row>96</xdr:row>
      <xdr:rowOff>104775</xdr:rowOff>
    </xdr:to>
    <xdr:pic>
      <xdr:nvPicPr>
        <xdr:cNvPr id="7" name="Picture 7"/>
        <xdr:cNvPicPr preferRelativeResize="1">
          <a:picLocks noChangeAspect="1"/>
        </xdr:cNvPicPr>
      </xdr:nvPicPr>
      <xdr:blipFill>
        <a:blip r:link="rId2"/>
        <a:stretch>
          <a:fillRect/>
        </a:stretch>
      </xdr:blipFill>
      <xdr:spPr>
        <a:xfrm>
          <a:off x="15401925" y="19545300"/>
          <a:ext cx="800100" cy="228600"/>
        </a:xfrm>
        <a:prstGeom prst="rect">
          <a:avLst/>
        </a:prstGeom>
        <a:noFill/>
        <a:ln w="9525" cmpd="sng">
          <a:noFill/>
        </a:ln>
      </xdr:spPr>
    </xdr:pic>
    <xdr:clientData/>
  </xdr:twoCellAnchor>
  <xdr:twoCellAnchor>
    <xdr:from>
      <xdr:col>12</xdr:col>
      <xdr:colOff>66675</xdr:colOff>
      <xdr:row>48</xdr:row>
      <xdr:rowOff>57150</xdr:rowOff>
    </xdr:from>
    <xdr:to>
      <xdr:col>12</xdr:col>
      <xdr:colOff>866775</xdr:colOff>
      <xdr:row>49</xdr:row>
      <xdr:rowOff>85725</xdr:rowOff>
    </xdr:to>
    <xdr:pic>
      <xdr:nvPicPr>
        <xdr:cNvPr id="8" name="Picture 8"/>
        <xdr:cNvPicPr preferRelativeResize="1">
          <a:picLocks noChangeAspect="1"/>
        </xdr:cNvPicPr>
      </xdr:nvPicPr>
      <xdr:blipFill>
        <a:blip r:link="rId2"/>
        <a:stretch>
          <a:fillRect/>
        </a:stretch>
      </xdr:blipFill>
      <xdr:spPr>
        <a:xfrm>
          <a:off x="15325725" y="9715500"/>
          <a:ext cx="800100" cy="228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76200</xdr:rowOff>
    </xdr:from>
    <xdr:to>
      <xdr:col>1</xdr:col>
      <xdr:colOff>0</xdr:colOff>
      <xdr:row>49</xdr:row>
      <xdr:rowOff>114300</xdr:rowOff>
    </xdr:to>
    <xdr:pic>
      <xdr:nvPicPr>
        <xdr:cNvPr id="1" name="Picture 1"/>
        <xdr:cNvPicPr preferRelativeResize="1">
          <a:picLocks noChangeAspect="1"/>
        </xdr:cNvPicPr>
      </xdr:nvPicPr>
      <xdr:blipFill>
        <a:blip r:link="rId1"/>
        <a:stretch>
          <a:fillRect/>
        </a:stretch>
      </xdr:blipFill>
      <xdr:spPr>
        <a:xfrm>
          <a:off x="0" y="9734550"/>
          <a:ext cx="314325" cy="238125"/>
        </a:xfrm>
        <a:prstGeom prst="rect">
          <a:avLst/>
        </a:prstGeom>
        <a:noFill/>
        <a:ln w="9525" cmpd="sng">
          <a:noFill/>
        </a:ln>
      </xdr:spPr>
    </xdr:pic>
    <xdr:clientData/>
  </xdr:twoCellAnchor>
  <xdr:twoCellAnchor>
    <xdr:from>
      <xdr:col>0</xdr:col>
      <xdr:colOff>47625</xdr:colOff>
      <xdr:row>95</xdr:row>
      <xdr:rowOff>85725</xdr:rowOff>
    </xdr:from>
    <xdr:to>
      <xdr:col>1</xdr:col>
      <xdr:colOff>47625</xdr:colOff>
      <xdr:row>96</xdr:row>
      <xdr:rowOff>123825</xdr:rowOff>
    </xdr:to>
    <xdr:pic>
      <xdr:nvPicPr>
        <xdr:cNvPr id="2" name="Picture 2"/>
        <xdr:cNvPicPr preferRelativeResize="1">
          <a:picLocks noChangeAspect="1"/>
        </xdr:cNvPicPr>
      </xdr:nvPicPr>
      <xdr:blipFill>
        <a:blip r:link="rId1"/>
        <a:stretch>
          <a:fillRect/>
        </a:stretch>
      </xdr:blipFill>
      <xdr:spPr>
        <a:xfrm>
          <a:off x="47625" y="19554825"/>
          <a:ext cx="314325" cy="238125"/>
        </a:xfrm>
        <a:prstGeom prst="rect">
          <a:avLst/>
        </a:prstGeom>
        <a:noFill/>
        <a:ln w="9525" cmpd="sng">
          <a:noFill/>
        </a:ln>
      </xdr:spPr>
    </xdr:pic>
    <xdr:clientData/>
  </xdr:twoCellAnchor>
  <xdr:twoCellAnchor>
    <xdr:from>
      <xdr:col>0</xdr:col>
      <xdr:colOff>0</xdr:colOff>
      <xdr:row>146</xdr:row>
      <xdr:rowOff>95250</xdr:rowOff>
    </xdr:from>
    <xdr:to>
      <xdr:col>1</xdr:col>
      <xdr:colOff>0</xdr:colOff>
      <xdr:row>147</xdr:row>
      <xdr:rowOff>133350</xdr:rowOff>
    </xdr:to>
    <xdr:pic>
      <xdr:nvPicPr>
        <xdr:cNvPr id="3" name="Picture 3"/>
        <xdr:cNvPicPr preferRelativeResize="1">
          <a:picLocks noChangeAspect="1"/>
        </xdr:cNvPicPr>
      </xdr:nvPicPr>
      <xdr:blipFill>
        <a:blip r:link="rId1"/>
        <a:stretch>
          <a:fillRect/>
        </a:stretch>
      </xdr:blipFill>
      <xdr:spPr>
        <a:xfrm>
          <a:off x="0" y="29775150"/>
          <a:ext cx="314325" cy="238125"/>
        </a:xfrm>
        <a:prstGeom prst="rect">
          <a:avLst/>
        </a:prstGeom>
        <a:noFill/>
        <a:ln w="9525" cmpd="sng">
          <a:noFill/>
        </a:ln>
      </xdr:spPr>
    </xdr:pic>
    <xdr:clientData/>
  </xdr:twoCellAnchor>
  <xdr:twoCellAnchor>
    <xdr:from>
      <xdr:col>0</xdr:col>
      <xdr:colOff>0</xdr:colOff>
      <xdr:row>207</xdr:row>
      <xdr:rowOff>57150</xdr:rowOff>
    </xdr:from>
    <xdr:to>
      <xdr:col>1</xdr:col>
      <xdr:colOff>0</xdr:colOff>
      <xdr:row>208</xdr:row>
      <xdr:rowOff>95250</xdr:rowOff>
    </xdr:to>
    <xdr:pic>
      <xdr:nvPicPr>
        <xdr:cNvPr id="4" name="Picture 4"/>
        <xdr:cNvPicPr preferRelativeResize="1">
          <a:picLocks noChangeAspect="1"/>
        </xdr:cNvPicPr>
      </xdr:nvPicPr>
      <xdr:blipFill>
        <a:blip r:link="rId1"/>
        <a:stretch>
          <a:fillRect/>
        </a:stretch>
      </xdr:blipFill>
      <xdr:spPr>
        <a:xfrm>
          <a:off x="0" y="41948100"/>
          <a:ext cx="314325" cy="238125"/>
        </a:xfrm>
        <a:prstGeom prst="rect">
          <a:avLst/>
        </a:prstGeom>
        <a:noFill/>
        <a:ln w="9525" cmpd="sng">
          <a:noFill/>
        </a:ln>
      </xdr:spPr>
    </xdr:pic>
    <xdr:clientData/>
  </xdr:twoCellAnchor>
  <xdr:twoCellAnchor>
    <xdr:from>
      <xdr:col>12</xdr:col>
      <xdr:colOff>66675</xdr:colOff>
      <xdr:row>207</xdr:row>
      <xdr:rowOff>76200</xdr:rowOff>
    </xdr:from>
    <xdr:to>
      <xdr:col>12</xdr:col>
      <xdr:colOff>866775</xdr:colOff>
      <xdr:row>208</xdr:row>
      <xdr:rowOff>104775</xdr:rowOff>
    </xdr:to>
    <xdr:pic>
      <xdr:nvPicPr>
        <xdr:cNvPr id="5" name="Picture 5"/>
        <xdr:cNvPicPr preferRelativeResize="1">
          <a:picLocks noChangeAspect="1"/>
        </xdr:cNvPicPr>
      </xdr:nvPicPr>
      <xdr:blipFill>
        <a:blip r:link="rId2"/>
        <a:stretch>
          <a:fillRect/>
        </a:stretch>
      </xdr:blipFill>
      <xdr:spPr>
        <a:xfrm>
          <a:off x="15735300" y="41967150"/>
          <a:ext cx="800100" cy="228600"/>
        </a:xfrm>
        <a:prstGeom prst="rect">
          <a:avLst/>
        </a:prstGeom>
        <a:noFill/>
        <a:ln w="9525" cmpd="sng">
          <a:noFill/>
        </a:ln>
      </xdr:spPr>
    </xdr:pic>
    <xdr:clientData/>
  </xdr:twoCellAnchor>
  <xdr:twoCellAnchor>
    <xdr:from>
      <xdr:col>12</xdr:col>
      <xdr:colOff>85725</xdr:colOff>
      <xdr:row>146</xdr:row>
      <xdr:rowOff>66675</xdr:rowOff>
    </xdr:from>
    <xdr:to>
      <xdr:col>12</xdr:col>
      <xdr:colOff>885825</xdr:colOff>
      <xdr:row>147</xdr:row>
      <xdr:rowOff>95250</xdr:rowOff>
    </xdr:to>
    <xdr:pic>
      <xdr:nvPicPr>
        <xdr:cNvPr id="6" name="Picture 6"/>
        <xdr:cNvPicPr preferRelativeResize="1">
          <a:picLocks noChangeAspect="1"/>
        </xdr:cNvPicPr>
      </xdr:nvPicPr>
      <xdr:blipFill>
        <a:blip r:link="rId2"/>
        <a:stretch>
          <a:fillRect/>
        </a:stretch>
      </xdr:blipFill>
      <xdr:spPr>
        <a:xfrm>
          <a:off x="15754350" y="29746575"/>
          <a:ext cx="800100" cy="228600"/>
        </a:xfrm>
        <a:prstGeom prst="rect">
          <a:avLst/>
        </a:prstGeom>
        <a:noFill/>
        <a:ln w="9525" cmpd="sng">
          <a:noFill/>
        </a:ln>
      </xdr:spPr>
    </xdr:pic>
    <xdr:clientData/>
  </xdr:twoCellAnchor>
  <xdr:twoCellAnchor>
    <xdr:from>
      <xdr:col>12</xdr:col>
      <xdr:colOff>142875</xdr:colOff>
      <xdr:row>95</xdr:row>
      <xdr:rowOff>76200</xdr:rowOff>
    </xdr:from>
    <xdr:to>
      <xdr:col>12</xdr:col>
      <xdr:colOff>942975</xdr:colOff>
      <xdr:row>96</xdr:row>
      <xdr:rowOff>104775</xdr:rowOff>
    </xdr:to>
    <xdr:pic>
      <xdr:nvPicPr>
        <xdr:cNvPr id="7" name="Picture 7"/>
        <xdr:cNvPicPr preferRelativeResize="1">
          <a:picLocks noChangeAspect="1"/>
        </xdr:cNvPicPr>
      </xdr:nvPicPr>
      <xdr:blipFill>
        <a:blip r:link="rId2"/>
        <a:stretch>
          <a:fillRect/>
        </a:stretch>
      </xdr:blipFill>
      <xdr:spPr>
        <a:xfrm>
          <a:off x="15811500" y="19545300"/>
          <a:ext cx="800100" cy="228600"/>
        </a:xfrm>
        <a:prstGeom prst="rect">
          <a:avLst/>
        </a:prstGeom>
        <a:noFill/>
        <a:ln w="9525" cmpd="sng">
          <a:noFill/>
        </a:ln>
      </xdr:spPr>
    </xdr:pic>
    <xdr:clientData/>
  </xdr:twoCellAnchor>
  <xdr:twoCellAnchor>
    <xdr:from>
      <xdr:col>12</xdr:col>
      <xdr:colOff>66675</xdr:colOff>
      <xdr:row>48</xdr:row>
      <xdr:rowOff>57150</xdr:rowOff>
    </xdr:from>
    <xdr:to>
      <xdr:col>12</xdr:col>
      <xdr:colOff>866775</xdr:colOff>
      <xdr:row>49</xdr:row>
      <xdr:rowOff>85725</xdr:rowOff>
    </xdr:to>
    <xdr:pic>
      <xdr:nvPicPr>
        <xdr:cNvPr id="8" name="Picture 8"/>
        <xdr:cNvPicPr preferRelativeResize="1">
          <a:picLocks noChangeAspect="1"/>
        </xdr:cNvPicPr>
      </xdr:nvPicPr>
      <xdr:blipFill>
        <a:blip r:link="rId2"/>
        <a:stretch>
          <a:fillRect/>
        </a:stretch>
      </xdr:blipFill>
      <xdr:spPr>
        <a:xfrm>
          <a:off x="15735300" y="9715500"/>
          <a:ext cx="8001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209"/>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0.6640625" style="1" customWidth="1"/>
    <col min="3" max="3" width="12.6640625" style="1" customWidth="1"/>
    <col min="4" max="4" width="14.6640625" style="1" customWidth="1"/>
    <col min="5" max="5" width="11.6640625" style="1" customWidth="1"/>
    <col min="6" max="6" width="14.6640625" style="1" customWidth="1"/>
    <col min="7" max="7" width="7.6640625" style="1" customWidth="1"/>
    <col min="8" max="8" width="13.6640625" style="1" customWidth="1"/>
    <col min="9" max="9" width="7.21484375" style="1" customWidth="1"/>
    <col min="10" max="10" width="13.6640625" style="1" customWidth="1"/>
    <col min="11" max="11" width="7.5546875" style="1" customWidth="1"/>
    <col min="12" max="12" width="15.6640625" style="1" customWidth="1"/>
    <col min="13" max="13" width="11.886718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8"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2" t="s">
        <v>2</v>
      </c>
      <c r="C5" s="13"/>
      <c r="D5" s="9"/>
      <c r="E5" s="9"/>
      <c r="F5" s="9"/>
      <c r="G5" s="9"/>
      <c r="H5" s="9"/>
      <c r="I5" s="9"/>
      <c r="J5" s="9"/>
      <c r="K5" s="9"/>
      <c r="L5" s="9"/>
      <c r="M5" s="9"/>
      <c r="N5" s="6"/>
    </row>
    <row r="6" spans="1:14" ht="15.75">
      <c r="A6" s="7"/>
      <c r="B6" s="12" t="s">
        <v>3</v>
      </c>
      <c r="C6" s="13"/>
      <c r="D6" s="9"/>
      <c r="E6" s="9"/>
      <c r="F6" s="9"/>
      <c r="G6" s="9"/>
      <c r="H6" s="9"/>
      <c r="I6" s="9"/>
      <c r="J6" s="9"/>
      <c r="K6" s="9"/>
      <c r="L6" s="9"/>
      <c r="M6" s="9"/>
      <c r="N6" s="6"/>
    </row>
    <row r="7" spans="1:14" ht="15.75">
      <c r="A7" s="7"/>
      <c r="B7" s="12" t="s">
        <v>4</v>
      </c>
      <c r="C7" s="13"/>
      <c r="D7" s="9"/>
      <c r="E7" s="9"/>
      <c r="F7" s="9"/>
      <c r="G7" s="9"/>
      <c r="H7" s="9"/>
      <c r="I7" s="9"/>
      <c r="J7" s="9"/>
      <c r="K7" s="9"/>
      <c r="L7" s="9"/>
      <c r="M7" s="9"/>
      <c r="N7" s="6"/>
    </row>
    <row r="8" spans="1:14" ht="15.75">
      <c r="A8" s="7"/>
      <c r="B8" s="14"/>
      <c r="C8" s="13"/>
      <c r="D8" s="9"/>
      <c r="E8" s="9"/>
      <c r="F8" s="9"/>
      <c r="G8" s="9"/>
      <c r="H8" s="9"/>
      <c r="I8" s="9"/>
      <c r="J8" s="9"/>
      <c r="K8" s="9"/>
      <c r="L8" s="9"/>
      <c r="M8" s="9"/>
      <c r="N8" s="6"/>
    </row>
    <row r="9" spans="1:14" ht="15.75">
      <c r="A9" s="7"/>
      <c r="B9" s="13"/>
      <c r="C9" s="13"/>
      <c r="D9" s="15"/>
      <c r="E9" s="15"/>
      <c r="F9" s="9"/>
      <c r="G9" s="9"/>
      <c r="H9" s="9"/>
      <c r="I9" s="9"/>
      <c r="J9" s="9"/>
      <c r="K9" s="9"/>
      <c r="L9" s="9"/>
      <c r="M9" s="9"/>
      <c r="N9" s="6"/>
    </row>
    <row r="10" spans="1:14" ht="15.75">
      <c r="A10" s="7"/>
      <c r="B10" s="15" t="s">
        <v>5</v>
      </c>
      <c r="C10" s="15"/>
      <c r="D10" s="9"/>
      <c r="E10" s="9"/>
      <c r="F10" s="9"/>
      <c r="G10" s="9"/>
      <c r="H10" s="9"/>
      <c r="I10" s="9"/>
      <c r="J10" s="9"/>
      <c r="K10" s="9"/>
      <c r="L10" s="9"/>
      <c r="M10" s="9"/>
      <c r="N10" s="6"/>
    </row>
    <row r="11" spans="1:14" ht="15.75">
      <c r="A11" s="7"/>
      <c r="B11" s="15"/>
      <c r="C11" s="15"/>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6" t="s">
        <v>6</v>
      </c>
      <c r="C13" s="16"/>
      <c r="D13" s="17"/>
      <c r="E13" s="17"/>
      <c r="F13" s="17"/>
      <c r="G13" s="17"/>
      <c r="H13" s="17"/>
      <c r="I13" s="17"/>
      <c r="J13" s="17"/>
      <c r="K13" s="17"/>
      <c r="L13" s="18" t="s">
        <v>186</v>
      </c>
      <c r="M13" s="9"/>
      <c r="N13" s="6"/>
    </row>
    <row r="14" spans="1:14" ht="15.75">
      <c r="A14" s="7"/>
      <c r="B14" s="16" t="s">
        <v>7</v>
      </c>
      <c r="C14" s="16"/>
      <c r="D14" s="19" t="s">
        <v>140</v>
      </c>
      <c r="E14" s="20">
        <v>0.348</v>
      </c>
      <c r="F14" s="19" t="s">
        <v>150</v>
      </c>
      <c r="G14" s="20">
        <v>0.229</v>
      </c>
      <c r="H14" s="19" t="s">
        <v>156</v>
      </c>
      <c r="I14" s="20">
        <v>0.098</v>
      </c>
      <c r="J14" s="19" t="s">
        <v>165</v>
      </c>
      <c r="K14" s="20">
        <v>0.1</v>
      </c>
      <c r="L14" s="18"/>
      <c r="M14" s="17"/>
      <c r="N14" s="6"/>
    </row>
    <row r="15" spans="1:14" ht="15.75">
      <c r="A15" s="7"/>
      <c r="B15" s="16" t="s">
        <v>8</v>
      </c>
      <c r="C15" s="16"/>
      <c r="D15" s="19" t="s">
        <v>140</v>
      </c>
      <c r="E15" s="20">
        <f>E176/($J$194+$L$92)</f>
        <v>0.2848541669139084</v>
      </c>
      <c r="F15" s="19" t="s">
        <v>150</v>
      </c>
      <c r="G15" s="20">
        <f>J176/($J$194+$L$92)</f>
        <v>0.16455621091107603</v>
      </c>
      <c r="H15" s="19" t="s">
        <v>156</v>
      </c>
      <c r="I15" s="20">
        <f>E186/($J$194+$L$92)</f>
        <v>0.09674471594887436</v>
      </c>
      <c r="J15" s="19" t="s">
        <v>165</v>
      </c>
      <c r="K15" s="20">
        <f>J186/($J$194+$L$92)</f>
        <v>0.09625023240726456</v>
      </c>
      <c r="L15" s="18"/>
      <c r="M15" s="17"/>
      <c r="N15" s="6"/>
    </row>
    <row r="16" spans="1:14" ht="15.75">
      <c r="A16" s="7"/>
      <c r="B16" s="16" t="s">
        <v>9</v>
      </c>
      <c r="C16" s="16"/>
      <c r="D16" s="17"/>
      <c r="E16" s="17"/>
      <c r="F16" s="17"/>
      <c r="G16" s="17"/>
      <c r="H16" s="17"/>
      <c r="I16" s="17"/>
      <c r="J16" s="17"/>
      <c r="K16" s="17"/>
      <c r="L16" s="178">
        <v>37070</v>
      </c>
      <c r="M16" s="9"/>
      <c r="N16" s="6"/>
    </row>
    <row r="17" spans="1:14" ht="15.75">
      <c r="A17" s="7"/>
      <c r="B17" s="16" t="s">
        <v>10</v>
      </c>
      <c r="C17" s="16"/>
      <c r="D17" s="17"/>
      <c r="E17" s="17"/>
      <c r="F17" s="17"/>
      <c r="G17" s="17"/>
      <c r="H17" s="17"/>
      <c r="I17" s="17"/>
      <c r="J17" s="17"/>
      <c r="K17" s="17"/>
      <c r="L17" s="21">
        <v>37161</v>
      </c>
      <c r="M17" s="9"/>
      <c r="N17" s="6"/>
    </row>
    <row r="18" spans="1:14" ht="15.75">
      <c r="A18" s="7"/>
      <c r="B18" s="9"/>
      <c r="C18" s="9"/>
      <c r="D18" s="9"/>
      <c r="E18" s="9"/>
      <c r="F18" s="9"/>
      <c r="G18" s="9"/>
      <c r="H18" s="9"/>
      <c r="I18" s="9"/>
      <c r="J18" s="9"/>
      <c r="K18" s="9"/>
      <c r="L18" s="22"/>
      <c r="M18" s="9"/>
      <c r="N18" s="6"/>
    </row>
    <row r="19" spans="1:14" ht="15.75">
      <c r="A19" s="7"/>
      <c r="B19" s="23" t="s">
        <v>11</v>
      </c>
      <c r="C19" s="9"/>
      <c r="D19" s="9"/>
      <c r="E19" s="9"/>
      <c r="F19" s="9"/>
      <c r="G19" s="9"/>
      <c r="H19" s="9"/>
      <c r="I19" s="9"/>
      <c r="J19" s="22"/>
      <c r="K19" s="9"/>
      <c r="L19" s="14"/>
      <c r="M19" s="9"/>
      <c r="N19" s="6"/>
    </row>
    <row r="20" spans="1:14" ht="15.75">
      <c r="A20" s="7"/>
      <c r="B20" s="9"/>
      <c r="C20" s="9"/>
      <c r="D20" s="9"/>
      <c r="E20" s="9"/>
      <c r="F20" s="9"/>
      <c r="G20" s="9"/>
      <c r="H20" s="9"/>
      <c r="I20" s="9"/>
      <c r="J20" s="9"/>
      <c r="K20" s="9"/>
      <c r="L20" s="24"/>
      <c r="M20" s="9"/>
      <c r="N20" s="6"/>
    </row>
    <row r="21" spans="1:14" ht="15.75">
      <c r="A21" s="7"/>
      <c r="B21" s="9"/>
      <c r="C21" s="159" t="s">
        <v>137</v>
      </c>
      <c r="D21" s="161" t="s">
        <v>142</v>
      </c>
      <c r="E21" s="161"/>
      <c r="F21" s="161" t="s">
        <v>158</v>
      </c>
      <c r="G21" s="161"/>
      <c r="H21" s="161" t="s">
        <v>169</v>
      </c>
      <c r="I21" s="26"/>
      <c r="J21" s="27"/>
      <c r="K21" s="14"/>
      <c r="L21" s="14"/>
      <c r="M21" s="9"/>
      <c r="N21" s="6"/>
    </row>
    <row r="22" spans="1:14" ht="15.75">
      <c r="A22" s="28"/>
      <c r="B22" s="29" t="s">
        <v>12</v>
      </c>
      <c r="C22" s="160" t="s">
        <v>138</v>
      </c>
      <c r="D22" s="31" t="s">
        <v>143</v>
      </c>
      <c r="E22" s="31"/>
      <c r="F22" s="31" t="s">
        <v>159</v>
      </c>
      <c r="G22" s="31"/>
      <c r="H22" s="31" t="s">
        <v>170</v>
      </c>
      <c r="I22" s="31"/>
      <c r="J22" s="31"/>
      <c r="K22" s="32"/>
      <c r="L22" s="32"/>
      <c r="M22" s="29"/>
      <c r="N22" s="6"/>
    </row>
    <row r="23" spans="1:14" ht="15.75">
      <c r="A23" s="28"/>
      <c r="B23" s="29" t="s">
        <v>13</v>
      </c>
      <c r="C23" s="30"/>
      <c r="D23" s="31" t="s">
        <v>144</v>
      </c>
      <c r="E23" s="31"/>
      <c r="F23" s="31" t="s">
        <v>160</v>
      </c>
      <c r="G23" s="31"/>
      <c r="H23" s="31" t="s">
        <v>171</v>
      </c>
      <c r="I23" s="31"/>
      <c r="J23" s="31"/>
      <c r="K23" s="32"/>
      <c r="L23" s="32"/>
      <c r="M23" s="29"/>
      <c r="N23" s="6"/>
    </row>
    <row r="24" spans="1:14" ht="15.75">
      <c r="A24" s="28"/>
      <c r="B24" s="33" t="s">
        <v>14</v>
      </c>
      <c r="C24" s="33"/>
      <c r="D24" s="34" t="s">
        <v>143</v>
      </c>
      <c r="E24" s="34"/>
      <c r="F24" s="34" t="s">
        <v>159</v>
      </c>
      <c r="G24" s="34"/>
      <c r="H24" s="34" t="s">
        <v>170</v>
      </c>
      <c r="I24" s="34"/>
      <c r="J24" s="34"/>
      <c r="K24" s="35"/>
      <c r="L24" s="32"/>
      <c r="M24" s="29"/>
      <c r="N24" s="6"/>
    </row>
    <row r="25" spans="1:14" ht="15.75">
      <c r="A25" s="28"/>
      <c r="B25" s="33" t="s">
        <v>15</v>
      </c>
      <c r="C25" s="33"/>
      <c r="D25" s="34" t="s">
        <v>144</v>
      </c>
      <c r="E25" s="34"/>
      <c r="F25" s="34" t="s">
        <v>160</v>
      </c>
      <c r="G25" s="34"/>
      <c r="H25" s="34" t="s">
        <v>171</v>
      </c>
      <c r="I25" s="34"/>
      <c r="J25" s="34"/>
      <c r="K25" s="35"/>
      <c r="L25" s="32"/>
      <c r="M25" s="29"/>
      <c r="N25" s="6"/>
    </row>
    <row r="26" spans="1:14" ht="15.75">
      <c r="A26" s="28"/>
      <c r="B26" s="29" t="s">
        <v>16</v>
      </c>
      <c r="C26" s="29"/>
      <c r="D26" s="36" t="s">
        <v>145</v>
      </c>
      <c r="E26" s="31"/>
      <c r="F26" s="36" t="s">
        <v>161</v>
      </c>
      <c r="G26" s="31"/>
      <c r="H26" s="36" t="s">
        <v>172</v>
      </c>
      <c r="I26" s="31"/>
      <c r="J26" s="36"/>
      <c r="K26" s="32"/>
      <c r="L26" s="32"/>
      <c r="M26" s="29"/>
      <c r="N26" s="6"/>
    </row>
    <row r="27" spans="1:14" ht="15.75">
      <c r="A27" s="28"/>
      <c r="B27" s="29"/>
      <c r="C27" s="29"/>
      <c r="D27" s="29"/>
      <c r="E27" s="31"/>
      <c r="F27" s="31"/>
      <c r="G27" s="31"/>
      <c r="H27" s="31"/>
      <c r="I27" s="31"/>
      <c r="J27" s="31"/>
      <c r="K27" s="32"/>
      <c r="L27" s="32"/>
      <c r="M27" s="29"/>
      <c r="N27" s="6"/>
    </row>
    <row r="28" spans="1:14" ht="15.75">
      <c r="A28" s="28"/>
      <c r="B28" s="29" t="s">
        <v>17</v>
      </c>
      <c r="C28" s="29"/>
      <c r="D28" s="37">
        <v>178210</v>
      </c>
      <c r="E28" s="38"/>
      <c r="F28" s="37">
        <v>51450</v>
      </c>
      <c r="G28" s="37"/>
      <c r="H28" s="37">
        <v>21340</v>
      </c>
      <c r="I28" s="37"/>
      <c r="J28" s="37"/>
      <c r="K28" s="39"/>
      <c r="L28" s="37">
        <f>J28+H28+F28+D28</f>
        <v>251000</v>
      </c>
      <c r="M28" s="40"/>
      <c r="N28" s="6"/>
    </row>
    <row r="29" spans="1:14" ht="15.75">
      <c r="A29" s="28"/>
      <c r="B29" s="29" t="s">
        <v>18</v>
      </c>
      <c r="C29" s="41"/>
      <c r="D29" s="37">
        <v>0</v>
      </c>
      <c r="E29" s="38"/>
      <c r="F29" s="37">
        <v>0</v>
      </c>
      <c r="G29" s="37"/>
      <c r="H29" s="37">
        <v>0</v>
      </c>
      <c r="I29" s="42"/>
      <c r="J29" s="37"/>
      <c r="K29" s="39"/>
      <c r="L29" s="37">
        <f>J29+H29+F29+D29</f>
        <v>0</v>
      </c>
      <c r="M29" s="40"/>
      <c r="N29" s="6"/>
    </row>
    <row r="30" spans="1:14" ht="15.75">
      <c r="A30" s="43"/>
      <c r="B30" s="33" t="s">
        <v>19</v>
      </c>
      <c r="C30" s="44">
        <v>1</v>
      </c>
      <c r="D30" s="45">
        <v>178210</v>
      </c>
      <c r="E30" s="46"/>
      <c r="F30" s="45">
        <v>51450</v>
      </c>
      <c r="G30" s="45"/>
      <c r="H30" s="45">
        <v>21340</v>
      </c>
      <c r="I30" s="45"/>
      <c r="J30" s="45"/>
      <c r="K30" s="47"/>
      <c r="L30" s="45">
        <f>J30+H30+F30+D30</f>
        <v>251000</v>
      </c>
      <c r="M30" s="29"/>
      <c r="N30" s="6"/>
    </row>
    <row r="31" spans="1:14" ht="15.75">
      <c r="A31" s="28"/>
      <c r="B31" s="29" t="s">
        <v>20</v>
      </c>
      <c r="C31" s="48"/>
      <c r="D31" s="36" t="s">
        <v>146</v>
      </c>
      <c r="E31" s="29"/>
      <c r="F31" s="36" t="s">
        <v>162</v>
      </c>
      <c r="G31" s="36"/>
      <c r="H31" s="36" t="s">
        <v>173</v>
      </c>
      <c r="I31" s="36"/>
      <c r="J31" s="36"/>
      <c r="K31" s="32"/>
      <c r="L31" s="32"/>
      <c r="M31" s="29"/>
      <c r="N31" s="6"/>
    </row>
    <row r="32" spans="1:14" ht="15.75">
      <c r="A32" s="28"/>
      <c r="B32" s="29" t="s">
        <v>21</v>
      </c>
      <c r="C32" s="48"/>
      <c r="D32" s="49">
        <v>0.0554085</v>
      </c>
      <c r="E32" s="50"/>
      <c r="F32" s="49">
        <v>0.0610085</v>
      </c>
      <c r="G32" s="49"/>
      <c r="H32" s="49">
        <v>0.0750085</v>
      </c>
      <c r="I32" s="51"/>
      <c r="J32" s="49"/>
      <c r="K32" s="32"/>
      <c r="L32" s="51">
        <f>SUMPRODUCT(D32:J32,D30:J30)/L30</f>
        <v>0.05822277888446215</v>
      </c>
      <c r="M32" s="29"/>
      <c r="N32" s="6"/>
    </row>
    <row r="33" spans="1:14" ht="15.75">
      <c r="A33" s="28"/>
      <c r="B33" s="29" t="s">
        <v>22</v>
      </c>
      <c r="C33" s="48"/>
      <c r="D33" s="49">
        <v>0</v>
      </c>
      <c r="E33" s="50"/>
      <c r="F33" s="49">
        <v>0</v>
      </c>
      <c r="G33" s="49"/>
      <c r="H33" s="49">
        <v>0</v>
      </c>
      <c r="I33" s="51"/>
      <c r="J33" s="49"/>
      <c r="K33" s="32"/>
      <c r="L33" s="32"/>
      <c r="M33" s="29"/>
      <c r="N33" s="6"/>
    </row>
    <row r="34" spans="1:14" ht="15.75">
      <c r="A34" s="28"/>
      <c r="B34" s="29" t="s">
        <v>23</v>
      </c>
      <c r="C34" s="48"/>
      <c r="D34" s="36" t="s">
        <v>147</v>
      </c>
      <c r="E34" s="29"/>
      <c r="F34" s="36" t="s">
        <v>147</v>
      </c>
      <c r="G34" s="36"/>
      <c r="H34" s="36" t="s">
        <v>147</v>
      </c>
      <c r="I34" s="36"/>
      <c r="J34" s="36"/>
      <c r="K34" s="32"/>
      <c r="L34" s="32"/>
      <c r="M34" s="29"/>
      <c r="N34" s="6"/>
    </row>
    <row r="35" spans="1:14" ht="15.75">
      <c r="A35" s="28"/>
      <c r="B35" s="29" t="s">
        <v>24</v>
      </c>
      <c r="C35" s="29"/>
      <c r="D35" s="52">
        <v>39248</v>
      </c>
      <c r="E35" s="29"/>
      <c r="F35" s="52">
        <v>39248</v>
      </c>
      <c r="G35" s="52"/>
      <c r="H35" s="52">
        <v>39248</v>
      </c>
      <c r="I35" s="36"/>
      <c r="J35" s="36"/>
      <c r="K35" s="32"/>
      <c r="L35" s="32"/>
      <c r="M35" s="29"/>
      <c r="N35" s="6"/>
    </row>
    <row r="36" spans="1:14" ht="15.75">
      <c r="A36" s="28"/>
      <c r="B36" s="29" t="s">
        <v>25</v>
      </c>
      <c r="C36" s="29"/>
      <c r="D36" s="36" t="s">
        <v>148</v>
      </c>
      <c r="E36" s="29"/>
      <c r="F36" s="36" t="s">
        <v>163</v>
      </c>
      <c r="G36" s="36"/>
      <c r="H36" s="36" t="s">
        <v>174</v>
      </c>
      <c r="I36" s="36"/>
      <c r="J36" s="36"/>
      <c r="K36" s="32"/>
      <c r="L36" s="32"/>
      <c r="M36" s="29"/>
      <c r="N36" s="6"/>
    </row>
    <row r="37" spans="1:14" ht="15.75">
      <c r="A37" s="28"/>
      <c r="B37" s="29"/>
      <c r="C37" s="29"/>
      <c r="D37" s="53"/>
      <c r="E37" s="53"/>
      <c r="F37" s="29"/>
      <c r="G37" s="53"/>
      <c r="H37" s="53"/>
      <c r="I37" s="53"/>
      <c r="J37" s="53"/>
      <c r="K37" s="53"/>
      <c r="L37" s="53"/>
      <c r="M37" s="29"/>
      <c r="N37" s="6"/>
    </row>
    <row r="38" spans="1:14" ht="15.75">
      <c r="A38" s="28"/>
      <c r="B38" s="29" t="s">
        <v>26</v>
      </c>
      <c r="C38" s="29"/>
      <c r="D38" s="29"/>
      <c r="E38" s="29"/>
      <c r="F38" s="29"/>
      <c r="G38" s="29"/>
      <c r="H38" s="29"/>
      <c r="I38" s="29"/>
      <c r="J38" s="29"/>
      <c r="K38" s="29"/>
      <c r="L38" s="51">
        <f>(H28+F28)/(D28)</f>
        <v>0.4084507042253521</v>
      </c>
      <c r="M38" s="29"/>
      <c r="N38" s="6"/>
    </row>
    <row r="39" spans="1:14" ht="15.75">
      <c r="A39" s="28"/>
      <c r="B39" s="29" t="s">
        <v>27</v>
      </c>
      <c r="C39" s="29"/>
      <c r="D39" s="29"/>
      <c r="E39" s="29"/>
      <c r="F39" s="29"/>
      <c r="G39" s="29"/>
      <c r="H39" s="29"/>
      <c r="I39" s="29"/>
      <c r="J39" s="29"/>
      <c r="K39" s="29"/>
      <c r="L39" s="51">
        <f>(H30+F30)/(D30)</f>
        <v>0.4084507042253521</v>
      </c>
      <c r="M39" s="29"/>
      <c r="N39" s="6"/>
    </row>
    <row r="40" spans="1:14" ht="15.75">
      <c r="A40" s="28"/>
      <c r="B40" s="29" t="s">
        <v>28</v>
      </c>
      <c r="C40" s="29"/>
      <c r="D40" s="29"/>
      <c r="E40" s="29"/>
      <c r="F40" s="29"/>
      <c r="G40" s="29"/>
      <c r="H40" s="29"/>
      <c r="I40" s="29"/>
      <c r="J40" s="36" t="s">
        <v>142</v>
      </c>
      <c r="K40" s="36" t="s">
        <v>185</v>
      </c>
      <c r="L40" s="37">
        <v>38766</v>
      </c>
      <c r="M40" s="29"/>
      <c r="N40" s="6"/>
    </row>
    <row r="41" spans="1:14" ht="15.75">
      <c r="A41" s="28"/>
      <c r="B41" s="29"/>
      <c r="C41" s="29"/>
      <c r="D41" s="29"/>
      <c r="E41" s="29"/>
      <c r="F41" s="29"/>
      <c r="G41" s="29"/>
      <c r="H41" s="29"/>
      <c r="I41" s="29"/>
      <c r="J41" s="29" t="s">
        <v>177</v>
      </c>
      <c r="K41" s="29"/>
      <c r="L41" s="54"/>
      <c r="M41" s="29"/>
      <c r="N41" s="6"/>
    </row>
    <row r="42" spans="1:14" ht="15.75">
      <c r="A42" s="28"/>
      <c r="B42" s="29" t="s">
        <v>29</v>
      </c>
      <c r="C42" s="29"/>
      <c r="D42" s="29"/>
      <c r="E42" s="29"/>
      <c r="F42" s="29"/>
      <c r="G42" s="29"/>
      <c r="H42" s="29"/>
      <c r="I42" s="29"/>
      <c r="J42" s="36"/>
      <c r="K42" s="36"/>
      <c r="L42" s="36" t="s">
        <v>187</v>
      </c>
      <c r="M42" s="29"/>
      <c r="N42" s="6"/>
    </row>
    <row r="43" spans="1:14" ht="15.75">
      <c r="A43" s="43"/>
      <c r="B43" s="33" t="s">
        <v>30</v>
      </c>
      <c r="C43" s="33"/>
      <c r="D43" s="33"/>
      <c r="E43" s="33"/>
      <c r="F43" s="33"/>
      <c r="G43" s="33"/>
      <c r="H43" s="33"/>
      <c r="I43" s="33"/>
      <c r="J43" s="55"/>
      <c r="K43" s="55"/>
      <c r="L43" s="56">
        <v>37151</v>
      </c>
      <c r="M43" s="33"/>
      <c r="N43" s="6"/>
    </row>
    <row r="44" spans="1:14" ht="15.75">
      <c r="A44" s="28"/>
      <c r="B44" s="29" t="s">
        <v>31</v>
      </c>
      <c r="C44" s="29"/>
      <c r="D44" s="29"/>
      <c r="E44" s="29"/>
      <c r="F44" s="29"/>
      <c r="G44" s="29"/>
      <c r="H44" s="32"/>
      <c r="I44" s="57"/>
      <c r="J44" s="58"/>
      <c r="K44" s="59"/>
      <c r="L44" s="58"/>
      <c r="M44" s="29"/>
      <c r="N44" s="6"/>
    </row>
    <row r="45" spans="1:14" ht="15.75">
      <c r="A45" s="28"/>
      <c r="B45" s="29" t="s">
        <v>32</v>
      </c>
      <c r="C45" s="29"/>
      <c r="D45" s="29"/>
      <c r="E45" s="29"/>
      <c r="F45" s="29"/>
      <c r="G45" s="29"/>
      <c r="H45" s="32"/>
      <c r="I45" s="29">
        <f>L45-J45+1</f>
        <v>81</v>
      </c>
      <c r="J45" s="58">
        <v>37070</v>
      </c>
      <c r="K45" s="59"/>
      <c r="L45" s="58">
        <v>37150</v>
      </c>
      <c r="M45" s="29"/>
      <c r="N45" s="6"/>
    </row>
    <row r="46" spans="1:14" ht="15.75">
      <c r="A46" s="28"/>
      <c r="B46" s="29" t="s">
        <v>33</v>
      </c>
      <c r="C46" s="29"/>
      <c r="D46" s="29"/>
      <c r="E46" s="29"/>
      <c r="F46" s="29"/>
      <c r="G46" s="29"/>
      <c r="H46" s="29"/>
      <c r="I46" s="29"/>
      <c r="J46" s="58"/>
      <c r="K46" s="59"/>
      <c r="L46" s="58" t="s">
        <v>188</v>
      </c>
      <c r="M46" s="29"/>
      <c r="N46" s="6"/>
    </row>
    <row r="47" spans="1:14" ht="15.75">
      <c r="A47" s="28"/>
      <c r="B47" s="29" t="s">
        <v>34</v>
      </c>
      <c r="C47" s="29"/>
      <c r="D47" s="29"/>
      <c r="E47" s="29"/>
      <c r="F47" s="29"/>
      <c r="G47" s="29"/>
      <c r="H47" s="29"/>
      <c r="I47" s="29"/>
      <c r="J47" s="58"/>
      <c r="K47" s="59"/>
      <c r="L47" s="58">
        <v>37137</v>
      </c>
      <c r="M47" s="29"/>
      <c r="N47" s="6"/>
    </row>
    <row r="48" spans="1:14" ht="15.75">
      <c r="A48" s="28"/>
      <c r="B48" s="29"/>
      <c r="C48" s="29"/>
      <c r="D48" s="29"/>
      <c r="E48" s="29"/>
      <c r="F48" s="29"/>
      <c r="G48" s="29"/>
      <c r="H48" s="29"/>
      <c r="I48" s="29"/>
      <c r="J48" s="29"/>
      <c r="K48" s="29"/>
      <c r="L48" s="60"/>
      <c r="M48" s="29"/>
      <c r="N48" s="6"/>
    </row>
    <row r="49" spans="1:14" ht="15.75">
      <c r="A49" s="7"/>
      <c r="B49" s="9"/>
      <c r="C49" s="9"/>
      <c r="D49" s="9"/>
      <c r="E49" s="9"/>
      <c r="F49" s="9"/>
      <c r="G49" s="9"/>
      <c r="H49" s="9"/>
      <c r="I49" s="9"/>
      <c r="J49" s="9"/>
      <c r="K49" s="9"/>
      <c r="L49" s="61"/>
      <c r="M49" s="9"/>
      <c r="N49" s="6"/>
    </row>
    <row r="50" spans="1:14" ht="16.5" thickBot="1">
      <c r="A50" s="144"/>
      <c r="B50" s="145" t="s">
        <v>35</v>
      </c>
      <c r="C50" s="146"/>
      <c r="D50" s="146"/>
      <c r="E50" s="146"/>
      <c r="F50" s="146"/>
      <c r="G50" s="146"/>
      <c r="H50" s="146"/>
      <c r="I50" s="146"/>
      <c r="J50" s="146"/>
      <c r="K50" s="146"/>
      <c r="L50" s="147"/>
      <c r="M50" s="148"/>
      <c r="N50" s="6"/>
    </row>
    <row r="51" spans="1:14" ht="15.75">
      <c r="A51" s="2"/>
      <c r="B51" s="5"/>
      <c r="C51" s="5"/>
      <c r="D51" s="5"/>
      <c r="E51" s="5"/>
      <c r="F51" s="5"/>
      <c r="G51" s="5"/>
      <c r="H51" s="5"/>
      <c r="I51" s="5"/>
      <c r="J51" s="5"/>
      <c r="K51" s="5"/>
      <c r="L51" s="62"/>
      <c r="M51" s="5"/>
      <c r="N51" s="6"/>
    </row>
    <row r="52" spans="1:14" ht="15.75">
      <c r="A52" s="7"/>
      <c r="B52" s="63" t="s">
        <v>36</v>
      </c>
      <c r="C52" s="15"/>
      <c r="D52" s="9"/>
      <c r="E52" s="9"/>
      <c r="F52" s="9"/>
      <c r="G52" s="9"/>
      <c r="H52" s="9"/>
      <c r="I52" s="9"/>
      <c r="J52" s="9"/>
      <c r="K52" s="9"/>
      <c r="L52" s="64"/>
      <c r="M52" s="9"/>
      <c r="N52" s="6"/>
    </row>
    <row r="53" spans="1:14" ht="15.75">
      <c r="A53" s="7"/>
      <c r="B53" s="15"/>
      <c r="C53" s="15"/>
      <c r="D53" s="9"/>
      <c r="E53" s="9"/>
      <c r="F53" s="9"/>
      <c r="G53" s="9"/>
      <c r="H53" s="9"/>
      <c r="I53" s="9"/>
      <c r="J53" s="9"/>
      <c r="K53" s="9"/>
      <c r="L53" s="64"/>
      <c r="M53" s="9"/>
      <c r="N53" s="6"/>
    </row>
    <row r="54" spans="1:14" ht="47.25">
      <c r="A54" s="7"/>
      <c r="B54" s="65"/>
      <c r="C54" s="162" t="s">
        <v>139</v>
      </c>
      <c r="D54" s="162" t="s">
        <v>149</v>
      </c>
      <c r="E54" s="162"/>
      <c r="F54" s="162" t="s">
        <v>164</v>
      </c>
      <c r="G54" s="162"/>
      <c r="H54" s="162" t="s">
        <v>175</v>
      </c>
      <c r="I54" s="162"/>
      <c r="J54" s="162" t="s">
        <v>178</v>
      </c>
      <c r="K54" s="162"/>
      <c r="L54" s="163" t="s">
        <v>189</v>
      </c>
      <c r="M54" s="158"/>
      <c r="N54" s="6"/>
    </row>
    <row r="55" spans="1:14" ht="15.75">
      <c r="A55" s="28"/>
      <c r="B55" s="29" t="s">
        <v>37</v>
      </c>
      <c r="C55" s="66">
        <f>81776+9633</f>
        <v>91409</v>
      </c>
      <c r="D55" s="66"/>
      <c r="E55" s="66"/>
      <c r="F55" s="66">
        <f>7514+681</f>
        <v>8195</v>
      </c>
      <c r="G55" s="66"/>
      <c r="H55" s="66">
        <v>0</v>
      </c>
      <c r="I55" s="66"/>
      <c r="J55" s="66">
        <v>0</v>
      </c>
      <c r="K55" s="66"/>
      <c r="L55" s="67">
        <f>C55-F55+H55-J55</f>
        <v>83214</v>
      </c>
      <c r="M55" s="29"/>
      <c r="N55" s="6"/>
    </row>
    <row r="56" spans="1:14" ht="15.75">
      <c r="A56" s="28"/>
      <c r="B56" s="29" t="s">
        <v>38</v>
      </c>
      <c r="C56" s="66">
        <v>1</v>
      </c>
      <c r="D56" s="66"/>
      <c r="E56" s="66"/>
      <c r="F56" s="66"/>
      <c r="G56" s="66"/>
      <c r="H56" s="66">
        <v>0</v>
      </c>
      <c r="I56" s="66"/>
      <c r="J56" s="66">
        <v>0</v>
      </c>
      <c r="K56" s="66"/>
      <c r="L56" s="67">
        <f>D56-F56</f>
        <v>0</v>
      </c>
      <c r="M56" s="29"/>
      <c r="N56" s="6"/>
    </row>
    <row r="57" spans="1:14" ht="15.75">
      <c r="A57" s="28"/>
      <c r="B57" s="29"/>
      <c r="C57" s="66"/>
      <c r="D57" s="66"/>
      <c r="E57" s="66"/>
      <c r="F57" s="66"/>
      <c r="G57" s="66"/>
      <c r="H57" s="66"/>
      <c r="I57" s="66"/>
      <c r="J57" s="66"/>
      <c r="K57" s="66"/>
      <c r="L57" s="67"/>
      <c r="M57" s="29"/>
      <c r="N57" s="6"/>
    </row>
    <row r="58" spans="1:14" ht="15.75">
      <c r="A58" s="28"/>
      <c r="B58" s="29" t="s">
        <v>39</v>
      </c>
      <c r="C58" s="66">
        <f>59449+801</f>
        <v>60250</v>
      </c>
      <c r="D58" s="66"/>
      <c r="E58" s="66"/>
      <c r="F58" s="66">
        <v>17526</v>
      </c>
      <c r="G58" s="66"/>
      <c r="H58" s="66">
        <f>SUM(H55:H57)</f>
        <v>0</v>
      </c>
      <c r="I58" s="66"/>
      <c r="J58" s="66">
        <f>SUM(J55:J57)</f>
        <v>0</v>
      </c>
      <c r="K58" s="66"/>
      <c r="L58" s="67">
        <f>C58-F58+H58-J58</f>
        <v>42724</v>
      </c>
      <c r="M58" s="29"/>
      <c r="N58" s="6"/>
    </row>
    <row r="59" spans="1:14" ht="15.75">
      <c r="A59" s="28"/>
      <c r="B59" s="29" t="s">
        <v>38</v>
      </c>
      <c r="C59" s="66">
        <v>136</v>
      </c>
      <c r="D59" s="66"/>
      <c r="E59" s="66"/>
      <c r="F59" s="66"/>
      <c r="G59" s="66"/>
      <c r="H59" s="66">
        <v>0</v>
      </c>
      <c r="I59" s="66"/>
      <c r="J59" s="66">
        <v>0</v>
      </c>
      <c r="K59" s="66"/>
      <c r="L59" s="68"/>
      <c r="M59" s="29"/>
      <c r="N59" s="6"/>
    </row>
    <row r="60" spans="1:14" ht="15.75">
      <c r="A60" s="28"/>
      <c r="B60" s="69"/>
      <c r="C60" s="66"/>
      <c r="D60" s="66"/>
      <c r="E60" s="66"/>
      <c r="F60" s="70"/>
      <c r="G60" s="66"/>
      <c r="H60" s="66"/>
      <c r="I60" s="66"/>
      <c r="J60" s="66"/>
      <c r="K60" s="66"/>
      <c r="L60" s="68"/>
      <c r="M60" s="29"/>
      <c r="N60" s="6"/>
    </row>
    <row r="61" spans="1:14" ht="15.75">
      <c r="A61" s="28"/>
      <c r="B61" s="29" t="s">
        <v>40</v>
      </c>
      <c r="C61" s="66">
        <v>25730</v>
      </c>
      <c r="D61" s="66"/>
      <c r="E61" s="66"/>
      <c r="F61" s="66">
        <v>1274</v>
      </c>
      <c r="G61" s="66"/>
      <c r="H61" s="66">
        <v>0</v>
      </c>
      <c r="I61" s="66"/>
      <c r="J61" s="66">
        <v>0</v>
      </c>
      <c r="K61" s="66"/>
      <c r="L61" s="67">
        <f>C61-F61+H61-J61</f>
        <v>24456</v>
      </c>
      <c r="M61" s="29"/>
      <c r="N61" s="6"/>
    </row>
    <row r="62" spans="1:14" ht="15.75">
      <c r="A62" s="28"/>
      <c r="B62" s="29" t="s">
        <v>38</v>
      </c>
      <c r="C62" s="66">
        <v>260</v>
      </c>
      <c r="D62" s="67"/>
      <c r="E62" s="66"/>
      <c r="F62" s="66"/>
      <c r="G62" s="66"/>
      <c r="H62" s="66">
        <v>0</v>
      </c>
      <c r="I62" s="66"/>
      <c r="J62" s="66">
        <v>0</v>
      </c>
      <c r="K62" s="66"/>
      <c r="L62" s="67">
        <f>D62-F62+H62-J62</f>
        <v>0</v>
      </c>
      <c r="M62" s="29"/>
      <c r="N62" s="6"/>
    </row>
    <row r="63" spans="1:14" ht="15.75">
      <c r="A63" s="28"/>
      <c r="B63" s="29"/>
      <c r="C63" s="66"/>
      <c r="D63" s="67"/>
      <c r="E63" s="66"/>
      <c r="F63" s="66"/>
      <c r="G63" s="66"/>
      <c r="H63" s="66"/>
      <c r="I63" s="66"/>
      <c r="J63" s="66"/>
      <c r="K63" s="66"/>
      <c r="L63" s="67"/>
      <c r="M63" s="29"/>
      <c r="N63" s="6"/>
    </row>
    <row r="64" spans="1:14" ht="15.75">
      <c r="A64" s="28"/>
      <c r="B64" s="29" t="s">
        <v>41</v>
      </c>
      <c r="C64" s="66">
        <v>26410</v>
      </c>
      <c r="D64" s="67"/>
      <c r="E64" s="66"/>
      <c r="F64" s="66">
        <f>2076+3</f>
        <v>2079</v>
      </c>
      <c r="G64" s="66"/>
      <c r="H64" s="66">
        <v>0</v>
      </c>
      <c r="I64" s="66"/>
      <c r="J64" s="66">
        <v>0</v>
      </c>
      <c r="K64" s="66"/>
      <c r="L64" s="67">
        <f>C64-F64+H64-J64</f>
        <v>24331</v>
      </c>
      <c r="M64" s="29"/>
      <c r="N64" s="6"/>
    </row>
    <row r="65" spans="1:14" ht="15.75">
      <c r="A65" s="28"/>
      <c r="B65" s="29" t="s">
        <v>38</v>
      </c>
      <c r="C65" s="66">
        <v>229</v>
      </c>
      <c r="D65" s="67"/>
      <c r="E65" s="66"/>
      <c r="F65" s="66"/>
      <c r="G65" s="66"/>
      <c r="H65" s="66">
        <v>0</v>
      </c>
      <c r="I65" s="66"/>
      <c r="J65" s="66">
        <v>0</v>
      </c>
      <c r="K65" s="66"/>
      <c r="L65" s="67"/>
      <c r="M65" s="29"/>
      <c r="N65" s="6"/>
    </row>
    <row r="66" spans="1:14" ht="15.75">
      <c r="A66" s="28"/>
      <c r="B66" s="66"/>
      <c r="C66" s="66"/>
      <c r="D66" s="67"/>
      <c r="E66" s="66"/>
      <c r="F66" s="66"/>
      <c r="G66" s="66"/>
      <c r="H66" s="66"/>
      <c r="I66" s="66"/>
      <c r="J66" s="66"/>
      <c r="K66" s="66"/>
      <c r="L66" s="67"/>
      <c r="M66" s="29"/>
      <c r="N66" s="6"/>
    </row>
    <row r="67" spans="1:14" ht="15.75">
      <c r="A67" s="28"/>
      <c r="B67" s="29" t="s">
        <v>42</v>
      </c>
      <c r="C67" s="66">
        <f>SUM(C55:C65)</f>
        <v>204425</v>
      </c>
      <c r="D67" s="66"/>
      <c r="E67" s="66"/>
      <c r="F67" s="66">
        <f>SUM(F55:F65)</f>
        <v>29074</v>
      </c>
      <c r="G67" s="66"/>
      <c r="H67" s="66">
        <f>SUM(H55:H65)</f>
        <v>0</v>
      </c>
      <c r="I67" s="66"/>
      <c r="J67" s="66">
        <f>SUM(J62:J66)</f>
        <v>0</v>
      </c>
      <c r="K67" s="66"/>
      <c r="L67" s="66">
        <f>SUM(L55:L66)</f>
        <v>174725</v>
      </c>
      <c r="M67" s="29"/>
      <c r="N67" s="6"/>
    </row>
    <row r="68" spans="1:14" ht="15.75">
      <c r="A68" s="28"/>
      <c r="B68" s="29"/>
      <c r="C68" s="66"/>
      <c r="D68" s="68"/>
      <c r="E68" s="66"/>
      <c r="F68" s="66"/>
      <c r="G68" s="66"/>
      <c r="H68" s="66"/>
      <c r="I68" s="66"/>
      <c r="J68" s="66"/>
      <c r="K68" s="66"/>
      <c r="L68" s="68"/>
      <c r="M68" s="29"/>
      <c r="N68" s="6"/>
    </row>
    <row r="69" spans="1:14" ht="15.75">
      <c r="A69" s="28"/>
      <c r="B69" s="29" t="s">
        <v>43</v>
      </c>
      <c r="C69" s="66">
        <f>-1789-10434</f>
        <v>-12223</v>
      </c>
      <c r="D69" s="66"/>
      <c r="E69" s="66"/>
      <c r="F69" s="66">
        <f>1574+324</f>
        <v>1898</v>
      </c>
      <c r="G69" s="66"/>
      <c r="H69" s="66"/>
      <c r="I69" s="66"/>
      <c r="J69" s="66"/>
      <c r="K69" s="66"/>
      <c r="L69" s="66">
        <f>C69-F69</f>
        <v>-14121</v>
      </c>
      <c r="M69" s="29"/>
      <c r="N69" s="6"/>
    </row>
    <row r="70" spans="1:14" ht="15.75">
      <c r="A70" s="28"/>
      <c r="B70" s="29" t="s">
        <v>44</v>
      </c>
      <c r="C70" s="66">
        <v>58798</v>
      </c>
      <c r="D70" s="68"/>
      <c r="E70" s="66"/>
      <c r="F70" s="66">
        <f>SUM(F67:F69)</f>
        <v>30972</v>
      </c>
      <c r="G70" s="66"/>
      <c r="H70" s="66">
        <f>-H67</f>
        <v>0</v>
      </c>
      <c r="I70" s="66"/>
      <c r="J70" s="66"/>
      <c r="K70" s="66"/>
      <c r="L70" s="68">
        <f>F70+C70</f>
        <v>89770</v>
      </c>
      <c r="M70" s="29"/>
      <c r="N70" s="6"/>
    </row>
    <row r="71" spans="1:14" ht="15.75">
      <c r="A71" s="28"/>
      <c r="B71" s="29" t="s">
        <v>45</v>
      </c>
      <c r="C71" s="66">
        <v>0</v>
      </c>
      <c r="D71" s="68"/>
      <c r="E71" s="66"/>
      <c r="F71" s="66"/>
      <c r="G71" s="66"/>
      <c r="H71" s="66">
        <v>0</v>
      </c>
      <c r="I71" s="66"/>
      <c r="J71" s="66"/>
      <c r="K71" s="66"/>
      <c r="L71" s="68">
        <f>H71+D71</f>
        <v>0</v>
      </c>
      <c r="M71" s="29"/>
      <c r="N71" s="6"/>
    </row>
    <row r="72" spans="1:14" ht="15.75">
      <c r="A72" s="28"/>
      <c r="B72" s="29" t="s">
        <v>46</v>
      </c>
      <c r="C72" s="66">
        <v>0</v>
      </c>
      <c r="D72" s="68"/>
      <c r="E72" s="66"/>
      <c r="F72" s="66">
        <v>0</v>
      </c>
      <c r="G72" s="66"/>
      <c r="H72" s="66"/>
      <c r="I72" s="66"/>
      <c r="J72" s="66"/>
      <c r="K72" s="66"/>
      <c r="L72" s="68">
        <f>D72+F72+H72</f>
        <v>0</v>
      </c>
      <c r="M72" s="29"/>
      <c r="N72" s="6"/>
    </row>
    <row r="73" spans="1:14" ht="15.75">
      <c r="A73" s="28"/>
      <c r="B73" s="29" t="s">
        <v>47</v>
      </c>
      <c r="C73" s="66">
        <v>0</v>
      </c>
      <c r="D73" s="68"/>
      <c r="E73" s="66"/>
      <c r="F73" s="66"/>
      <c r="G73" s="66"/>
      <c r="H73" s="71"/>
      <c r="I73" s="66"/>
      <c r="J73" s="66"/>
      <c r="K73" s="66"/>
      <c r="L73" s="68">
        <v>626</v>
      </c>
      <c r="M73" s="29"/>
      <c r="N73" s="6"/>
    </row>
    <row r="74" spans="1:14" ht="15.75">
      <c r="A74" s="28"/>
      <c r="B74" s="29" t="s">
        <v>19</v>
      </c>
      <c r="C74" s="68">
        <f>SUM(C67:C73)</f>
        <v>251000</v>
      </c>
      <c r="D74" s="68"/>
      <c r="E74" s="66"/>
      <c r="F74" s="66">
        <f>F70-F73-F72</f>
        <v>30972</v>
      </c>
      <c r="G74" s="66"/>
      <c r="H74" s="66"/>
      <c r="I74" s="66"/>
      <c r="J74" s="66"/>
      <c r="K74" s="66"/>
      <c r="L74" s="68">
        <f>SUM(L67:L73)</f>
        <v>251000</v>
      </c>
      <c r="M74" s="29"/>
      <c r="N74" s="6"/>
    </row>
    <row r="75" spans="1:14" ht="15.75">
      <c r="A75" s="28"/>
      <c r="B75" s="66"/>
      <c r="C75" s="29"/>
      <c r="D75" s="29"/>
      <c r="E75" s="29"/>
      <c r="F75" s="29"/>
      <c r="G75" s="29"/>
      <c r="H75" s="29"/>
      <c r="I75" s="29"/>
      <c r="J75" s="36"/>
      <c r="K75" s="29"/>
      <c r="L75" s="36"/>
      <c r="M75" s="29"/>
      <c r="N75" s="6"/>
    </row>
    <row r="76" spans="1:14" ht="15.75">
      <c r="A76" s="7"/>
      <c r="B76" s="63" t="s">
        <v>48</v>
      </c>
      <c r="C76" s="16"/>
      <c r="D76" s="16"/>
      <c r="E76" s="16"/>
      <c r="F76" s="16"/>
      <c r="G76" s="16"/>
      <c r="H76" s="16"/>
      <c r="I76" s="19"/>
      <c r="J76" s="19"/>
      <c r="K76" s="19"/>
      <c r="L76" s="19" t="s">
        <v>190</v>
      </c>
      <c r="M76" s="16"/>
      <c r="N76" s="6"/>
    </row>
    <row r="77" spans="1:14" ht="15.75">
      <c r="A77" s="28"/>
      <c r="B77" s="29" t="s">
        <v>49</v>
      </c>
      <c r="C77" s="29"/>
      <c r="D77" s="29"/>
      <c r="E77" s="29"/>
      <c r="F77" s="29"/>
      <c r="G77" s="29"/>
      <c r="H77" s="29"/>
      <c r="I77" s="29"/>
      <c r="J77" s="66"/>
      <c r="K77" s="29"/>
      <c r="L77" s="67">
        <f>104660-1978</f>
        <v>102682</v>
      </c>
      <c r="M77" s="29"/>
      <c r="N77" s="6"/>
    </row>
    <row r="78" spans="1:14" ht="15.75">
      <c r="A78" s="28"/>
      <c r="B78" s="29" t="s">
        <v>50</v>
      </c>
      <c r="C78" s="53"/>
      <c r="D78" s="57"/>
      <c r="E78" s="29"/>
      <c r="F78" s="29"/>
      <c r="G78" s="29"/>
      <c r="H78" s="29"/>
      <c r="I78" s="29"/>
      <c r="J78" s="66"/>
      <c r="K78" s="29"/>
      <c r="L78" s="67">
        <f>656+72+413</f>
        <v>1141</v>
      </c>
      <c r="M78" s="29"/>
      <c r="N78" s="6"/>
    </row>
    <row r="79" spans="1:15" ht="15.75">
      <c r="A79" s="28"/>
      <c r="B79" s="29" t="s">
        <v>51</v>
      </c>
      <c r="C79" s="53"/>
      <c r="D79" s="57"/>
      <c r="E79" s="29"/>
      <c r="F79" s="29"/>
      <c r="G79" s="29"/>
      <c r="H79" s="29"/>
      <c r="I79" s="29"/>
      <c r="J79" s="66"/>
      <c r="K79" s="29"/>
      <c r="L79" s="67">
        <v>-10793</v>
      </c>
      <c r="M79" s="29"/>
      <c r="N79" s="6"/>
      <c r="O79" s="72"/>
    </row>
    <row r="80" spans="1:15" ht="15.75">
      <c r="A80" s="28"/>
      <c r="B80" s="29" t="s">
        <v>52</v>
      </c>
      <c r="C80" s="29"/>
      <c r="D80" s="29"/>
      <c r="E80" s="29"/>
      <c r="F80" s="29"/>
      <c r="G80" s="29"/>
      <c r="H80" s="29"/>
      <c r="I80" s="29"/>
      <c r="J80" s="66"/>
      <c r="K80" s="29"/>
      <c r="L80" s="67">
        <v>1265</v>
      </c>
      <c r="M80" s="29"/>
      <c r="N80" s="6"/>
      <c r="O80" s="72"/>
    </row>
    <row r="81" spans="1:15" ht="15.75">
      <c r="A81" s="28"/>
      <c r="B81" s="29" t="s">
        <v>53</v>
      </c>
      <c r="C81" s="29"/>
      <c r="D81" s="29"/>
      <c r="E81" s="29"/>
      <c r="F81" s="29"/>
      <c r="G81" s="29"/>
      <c r="H81" s="29"/>
      <c r="I81" s="29"/>
      <c r="J81" s="66"/>
      <c r="K81" s="29"/>
      <c r="L81" s="67">
        <f>SUM(L77:L80)</f>
        <v>94295</v>
      </c>
      <c r="M81" s="29"/>
      <c r="N81" s="6"/>
      <c r="O81" s="72"/>
    </row>
    <row r="82" spans="1:14" ht="15.75">
      <c r="A82" s="28"/>
      <c r="B82" s="29"/>
      <c r="C82" s="29"/>
      <c r="D82" s="29"/>
      <c r="E82" s="29"/>
      <c r="F82" s="29"/>
      <c r="G82" s="29"/>
      <c r="H82" s="29"/>
      <c r="I82" s="29"/>
      <c r="J82" s="66"/>
      <c r="K82" s="29"/>
      <c r="L82" s="68"/>
      <c r="M82" s="29"/>
      <c r="N82" s="6"/>
    </row>
    <row r="83" spans="1:15" ht="15.75">
      <c r="A83" s="28"/>
      <c r="B83" s="164" t="s">
        <v>54</v>
      </c>
      <c r="C83" s="73"/>
      <c r="D83" s="29"/>
      <c r="E83" s="29"/>
      <c r="F83" s="29"/>
      <c r="G83" s="29"/>
      <c r="H83" s="29"/>
      <c r="I83" s="29"/>
      <c r="J83" s="66"/>
      <c r="K83" s="29"/>
      <c r="L83" s="67"/>
      <c r="M83" s="29"/>
      <c r="N83" s="6"/>
      <c r="O83" s="72"/>
    </row>
    <row r="84" spans="1:14" ht="15.75">
      <c r="A84" s="28">
        <v>1</v>
      </c>
      <c r="B84" s="29" t="s">
        <v>55</v>
      </c>
      <c r="C84" s="29"/>
      <c r="D84" s="29"/>
      <c r="E84" s="29"/>
      <c r="F84" s="29"/>
      <c r="G84" s="29"/>
      <c r="H84" s="29"/>
      <c r="I84" s="29"/>
      <c r="J84" s="29"/>
      <c r="K84" s="29"/>
      <c r="L84" s="67">
        <v>-4</v>
      </c>
      <c r="M84" s="29"/>
      <c r="N84" s="6"/>
    </row>
    <row r="85" spans="1:15" ht="15.75">
      <c r="A85" s="28">
        <f aca="true" t="shared" si="0" ref="A85:A93">A84+1</f>
        <v>2</v>
      </c>
      <c r="B85" s="29" t="s">
        <v>56</v>
      </c>
      <c r="C85" s="29"/>
      <c r="D85" s="29"/>
      <c r="E85" s="29"/>
      <c r="F85" s="29"/>
      <c r="G85" s="29"/>
      <c r="H85" s="29"/>
      <c r="I85" s="29"/>
      <c r="J85" s="29"/>
      <c r="K85" s="29"/>
      <c r="L85" s="67">
        <v>-387</v>
      </c>
      <c r="M85" s="29"/>
      <c r="N85" s="6"/>
      <c r="O85" s="72"/>
    </row>
    <row r="86" spans="1:15" ht="15.75">
      <c r="A86" s="28">
        <f t="shared" si="0"/>
        <v>3</v>
      </c>
      <c r="B86" s="29" t="s">
        <v>57</v>
      </c>
      <c r="C86" s="29"/>
      <c r="D86" s="29"/>
      <c r="E86" s="29"/>
      <c r="F86" s="29"/>
      <c r="G86" s="29"/>
      <c r="H86" s="29"/>
      <c r="I86" s="29"/>
      <c r="J86" s="29"/>
      <c r="K86" s="29"/>
      <c r="L86" s="67">
        <v>-262</v>
      </c>
      <c r="M86" s="29"/>
      <c r="N86" s="6"/>
      <c r="O86" s="72"/>
    </row>
    <row r="87" spans="1:15" ht="15.75">
      <c r="A87" s="28">
        <f t="shared" si="0"/>
        <v>4</v>
      </c>
      <c r="B87" s="29" t="s">
        <v>58</v>
      </c>
      <c r="C87" s="29"/>
      <c r="D87" s="29"/>
      <c r="E87" s="29"/>
      <c r="F87" s="29"/>
      <c r="G87" s="29"/>
      <c r="H87" s="29"/>
      <c r="I87" s="29"/>
      <c r="J87" s="29"/>
      <c r="K87" s="29"/>
      <c r="L87" s="67">
        <v>-2191</v>
      </c>
      <c r="M87" s="29"/>
      <c r="N87" s="6"/>
      <c r="O87" s="72"/>
    </row>
    <row r="88" spans="1:14" ht="15.75">
      <c r="A88" s="28">
        <f t="shared" si="0"/>
        <v>5</v>
      </c>
      <c r="B88" s="29" t="s">
        <v>59</v>
      </c>
      <c r="C88" s="29"/>
      <c r="D88" s="29"/>
      <c r="E88" s="29"/>
      <c r="F88" s="29"/>
      <c r="G88" s="29"/>
      <c r="H88" s="29"/>
      <c r="I88" s="29"/>
      <c r="J88" s="29"/>
      <c r="K88" s="29"/>
      <c r="L88" s="67">
        <v>-3</v>
      </c>
      <c r="M88" s="29"/>
      <c r="N88" s="6"/>
    </row>
    <row r="89" spans="1:15" ht="15.75">
      <c r="A89" s="28">
        <f t="shared" si="0"/>
        <v>6</v>
      </c>
      <c r="B89" s="29" t="s">
        <v>60</v>
      </c>
      <c r="C89" s="29"/>
      <c r="D89" s="29"/>
      <c r="E89" s="29"/>
      <c r="F89" s="29"/>
      <c r="G89" s="29"/>
      <c r="H89" s="29"/>
      <c r="I89" s="29"/>
      <c r="J89" s="29"/>
      <c r="K89" s="29"/>
      <c r="L89" s="67">
        <v>-697</v>
      </c>
      <c r="M89" s="29"/>
      <c r="N89" s="6"/>
      <c r="O89" s="72"/>
    </row>
    <row r="90" spans="1:15" ht="15.75">
      <c r="A90" s="28">
        <f t="shared" si="0"/>
        <v>7</v>
      </c>
      <c r="B90" s="29" t="s">
        <v>61</v>
      </c>
      <c r="C90" s="29"/>
      <c r="D90" s="29"/>
      <c r="E90" s="29"/>
      <c r="F90" s="29"/>
      <c r="G90" s="29"/>
      <c r="H90" s="29"/>
      <c r="I90" s="29"/>
      <c r="J90" s="29"/>
      <c r="K90" s="29"/>
      <c r="L90" s="67">
        <v>-355</v>
      </c>
      <c r="M90" s="29"/>
      <c r="N90" s="6"/>
      <c r="O90" s="72"/>
    </row>
    <row r="91" spans="1:14" ht="15.75">
      <c r="A91" s="28">
        <f t="shared" si="0"/>
        <v>8</v>
      </c>
      <c r="B91" s="29" t="s">
        <v>62</v>
      </c>
      <c r="C91" s="29"/>
      <c r="D91" s="29"/>
      <c r="E91" s="29"/>
      <c r="F91" s="29"/>
      <c r="G91" s="29"/>
      <c r="H91" s="29"/>
      <c r="I91" s="29"/>
      <c r="J91" s="29"/>
      <c r="K91" s="29"/>
      <c r="L91" s="67">
        <v>0</v>
      </c>
      <c r="M91" s="29"/>
      <c r="N91" s="6"/>
    </row>
    <row r="92" spans="1:15" ht="15.75">
      <c r="A92" s="28">
        <f t="shared" si="0"/>
        <v>9</v>
      </c>
      <c r="B92" s="29" t="s">
        <v>44</v>
      </c>
      <c r="C92" s="29"/>
      <c r="D92" s="29"/>
      <c r="E92" s="29"/>
      <c r="F92" s="29"/>
      <c r="G92" s="29"/>
      <c r="H92" s="29"/>
      <c r="I92" s="29"/>
      <c r="J92" s="66"/>
      <c r="K92" s="29"/>
      <c r="L92" s="67">
        <f>L81+SUM(L84:L90)-L93</f>
        <v>90396</v>
      </c>
      <c r="M92" s="29"/>
      <c r="N92" s="6"/>
      <c r="O92" s="72"/>
    </row>
    <row r="93" spans="1:14" ht="15.75">
      <c r="A93" s="28">
        <f t="shared" si="0"/>
        <v>10</v>
      </c>
      <c r="B93" s="29" t="s">
        <v>63</v>
      </c>
      <c r="C93" s="29"/>
      <c r="D93" s="29"/>
      <c r="E93" s="29"/>
      <c r="F93" s="29"/>
      <c r="G93" s="29"/>
      <c r="H93" s="29"/>
      <c r="I93" s="29"/>
      <c r="J93" s="29"/>
      <c r="K93" s="29"/>
      <c r="L93" s="67">
        <f>J194+SUM(L81:L90)+J196-J199</f>
        <v>0</v>
      </c>
      <c r="M93" s="29"/>
      <c r="N93" s="6"/>
    </row>
    <row r="94" spans="1:14" ht="15.75">
      <c r="A94" s="28"/>
      <c r="B94" s="32"/>
      <c r="C94" s="29"/>
      <c r="D94" s="29"/>
      <c r="E94" s="29"/>
      <c r="F94" s="29"/>
      <c r="G94" s="29"/>
      <c r="H94" s="29"/>
      <c r="I94" s="29"/>
      <c r="J94" s="66"/>
      <c r="K94" s="66"/>
      <c r="L94" s="66"/>
      <c r="M94" s="29"/>
      <c r="N94" s="6"/>
    </row>
    <row r="95" spans="1:14" ht="15.75">
      <c r="A95" s="7"/>
      <c r="B95" s="14"/>
      <c r="C95" s="9"/>
      <c r="D95" s="9"/>
      <c r="E95" s="9"/>
      <c r="F95" s="9"/>
      <c r="G95" s="9"/>
      <c r="H95" s="9"/>
      <c r="I95" s="9"/>
      <c r="J95" s="74"/>
      <c r="K95" s="74"/>
      <c r="L95" s="74"/>
      <c r="M95" s="9"/>
      <c r="N95" s="6"/>
    </row>
    <row r="96" spans="1:14" ht="16.5" thickBot="1">
      <c r="A96" s="144"/>
      <c r="B96" s="145" t="s">
        <v>35</v>
      </c>
      <c r="C96" s="146"/>
      <c r="D96" s="146"/>
      <c r="E96" s="146"/>
      <c r="F96" s="146"/>
      <c r="G96" s="146"/>
      <c r="H96" s="146"/>
      <c r="I96" s="146"/>
      <c r="J96" s="149"/>
      <c r="K96" s="149"/>
      <c r="L96" s="149"/>
      <c r="M96" s="148"/>
      <c r="N96" s="6"/>
    </row>
    <row r="97" spans="1:14" ht="15.75">
      <c r="A97" s="2"/>
      <c r="B97" s="5"/>
      <c r="C97" s="5"/>
      <c r="D97" s="5"/>
      <c r="E97" s="5"/>
      <c r="F97" s="5"/>
      <c r="G97" s="5"/>
      <c r="H97" s="5"/>
      <c r="I97" s="5"/>
      <c r="J97" s="75"/>
      <c r="K97" s="75"/>
      <c r="L97" s="75"/>
      <c r="M97" s="5"/>
      <c r="N97" s="6"/>
    </row>
    <row r="98" spans="1:14" ht="15.75">
      <c r="A98" s="76"/>
      <c r="B98" s="77" t="s">
        <v>64</v>
      </c>
      <c r="C98" s="78"/>
      <c r="D98" s="78"/>
      <c r="E98" s="78"/>
      <c r="F98" s="78"/>
      <c r="G98" s="78"/>
      <c r="H98" s="78"/>
      <c r="I98" s="78"/>
      <c r="J98" s="78"/>
      <c r="K98" s="78"/>
      <c r="L98" s="79"/>
      <c r="M98" s="80"/>
      <c r="N98" s="6"/>
    </row>
    <row r="99" spans="1:14" ht="15.75">
      <c r="A99" s="76"/>
      <c r="B99" s="78"/>
      <c r="C99" s="78"/>
      <c r="D99" s="78"/>
      <c r="E99" s="78"/>
      <c r="F99" s="78"/>
      <c r="G99" s="78"/>
      <c r="H99" s="78"/>
      <c r="I99" s="78"/>
      <c r="J99" s="78"/>
      <c r="K99" s="78"/>
      <c r="L99" s="79"/>
      <c r="M99" s="78"/>
      <c r="N99" s="6"/>
    </row>
    <row r="100" spans="1:14" ht="15.75">
      <c r="A100" s="7"/>
      <c r="B100" s="165" t="s">
        <v>65</v>
      </c>
      <c r="C100" s="15"/>
      <c r="D100" s="9"/>
      <c r="E100" s="9"/>
      <c r="F100" s="9"/>
      <c r="G100" s="9"/>
      <c r="H100" s="9"/>
      <c r="I100" s="9"/>
      <c r="J100" s="9"/>
      <c r="K100" s="9"/>
      <c r="L100" s="64"/>
      <c r="M100" s="9"/>
      <c r="N100" s="6"/>
    </row>
    <row r="101" spans="1:14" ht="15.75">
      <c r="A101" s="28"/>
      <c r="B101" s="29" t="s">
        <v>66</v>
      </c>
      <c r="C101" s="29"/>
      <c r="D101" s="29"/>
      <c r="E101" s="29"/>
      <c r="F101" s="29"/>
      <c r="G101" s="29"/>
      <c r="H101" s="29"/>
      <c r="I101" s="29"/>
      <c r="J101" s="29"/>
      <c r="K101" s="29"/>
      <c r="L101" s="67">
        <f>10793+400</f>
        <v>11193</v>
      </c>
      <c r="M101" s="29"/>
      <c r="N101" s="6"/>
    </row>
    <row r="102" spans="1:14" ht="15.75">
      <c r="A102" s="28"/>
      <c r="B102" s="29" t="s">
        <v>67</v>
      </c>
      <c r="C102" s="29"/>
      <c r="D102" s="29"/>
      <c r="E102" s="29"/>
      <c r="F102" s="29"/>
      <c r="G102" s="29"/>
      <c r="H102" s="29"/>
      <c r="I102" s="29"/>
      <c r="J102" s="29"/>
      <c r="K102" s="29"/>
      <c r="L102" s="67">
        <v>10793</v>
      </c>
      <c r="M102" s="29"/>
      <c r="N102" s="6"/>
    </row>
    <row r="103" spans="1:14" ht="15.75">
      <c r="A103" s="28"/>
      <c r="B103" s="29" t="s">
        <v>68</v>
      </c>
      <c r="C103" s="29"/>
      <c r="D103" s="29"/>
      <c r="E103" s="29"/>
      <c r="F103" s="29"/>
      <c r="G103" s="29"/>
      <c r="H103" s="29"/>
      <c r="I103" s="29"/>
      <c r="J103" s="29"/>
      <c r="K103" s="29"/>
      <c r="L103" s="67">
        <v>0</v>
      </c>
      <c r="M103" s="29"/>
      <c r="N103" s="6"/>
    </row>
    <row r="104" spans="1:14" ht="15.75">
      <c r="A104" s="28"/>
      <c r="B104" s="29" t="s">
        <v>69</v>
      </c>
      <c r="C104" s="29"/>
      <c r="D104" s="29"/>
      <c r="E104" s="29"/>
      <c r="F104" s="29"/>
      <c r="G104" s="29"/>
      <c r="H104" s="29"/>
      <c r="I104" s="29"/>
      <c r="J104" s="29"/>
      <c r="K104" s="29"/>
      <c r="L104" s="67">
        <v>-400</v>
      </c>
      <c r="M104" s="29"/>
      <c r="N104" s="6"/>
    </row>
    <row r="105" spans="1:14" ht="15.75">
      <c r="A105" s="28"/>
      <c r="B105" s="29" t="s">
        <v>70</v>
      </c>
      <c r="C105" s="29"/>
      <c r="D105" s="29"/>
      <c r="E105" s="29"/>
      <c r="F105" s="29"/>
      <c r="G105" s="29"/>
      <c r="H105" s="29"/>
      <c r="I105" s="29"/>
      <c r="J105" s="29"/>
      <c r="K105" s="29"/>
      <c r="L105" s="67">
        <v>0</v>
      </c>
      <c r="M105" s="29"/>
      <c r="N105" s="6"/>
    </row>
    <row r="106" spans="1:14" ht="15.75">
      <c r="A106" s="28"/>
      <c r="B106" s="29" t="s">
        <v>58</v>
      </c>
      <c r="C106" s="29"/>
      <c r="D106" s="29"/>
      <c r="E106" s="29"/>
      <c r="F106" s="29"/>
      <c r="G106" s="29"/>
      <c r="H106" s="29"/>
      <c r="I106" s="29"/>
      <c r="J106" s="29"/>
      <c r="K106" s="29"/>
      <c r="L106" s="67">
        <v>0</v>
      </c>
      <c r="M106" s="29"/>
      <c r="N106" s="6"/>
    </row>
    <row r="107" spans="1:14" ht="15.75">
      <c r="A107" s="28"/>
      <c r="B107" s="29" t="s">
        <v>60</v>
      </c>
      <c r="C107" s="29"/>
      <c r="D107" s="29"/>
      <c r="E107" s="29"/>
      <c r="F107" s="29"/>
      <c r="G107" s="29"/>
      <c r="H107" s="29"/>
      <c r="I107" s="29"/>
      <c r="J107" s="29"/>
      <c r="K107" s="29"/>
      <c r="L107" s="67">
        <v>0</v>
      </c>
      <c r="M107" s="29"/>
      <c r="N107" s="6"/>
    </row>
    <row r="108" spans="1:14" ht="15.75">
      <c r="A108" s="28"/>
      <c r="B108" s="29" t="s">
        <v>61</v>
      </c>
      <c r="C108" s="29"/>
      <c r="D108" s="29"/>
      <c r="E108" s="29"/>
      <c r="F108" s="29"/>
      <c r="G108" s="29"/>
      <c r="H108" s="29"/>
      <c r="I108" s="29"/>
      <c r="J108" s="29"/>
      <c r="K108" s="29"/>
      <c r="L108" s="67">
        <v>0</v>
      </c>
      <c r="M108" s="29"/>
      <c r="N108" s="6"/>
    </row>
    <row r="109" spans="1:14" ht="15.75">
      <c r="A109" s="28"/>
      <c r="B109" s="29" t="s">
        <v>71</v>
      </c>
      <c r="C109" s="29"/>
      <c r="D109" s="29"/>
      <c r="E109" s="29"/>
      <c r="F109" s="29"/>
      <c r="G109" s="29"/>
      <c r="H109" s="29"/>
      <c r="I109" s="29"/>
      <c r="J109" s="29"/>
      <c r="K109" s="29"/>
      <c r="L109" s="67">
        <f>L101+L104</f>
        <v>10793</v>
      </c>
      <c r="M109" s="29"/>
      <c r="N109" s="6"/>
    </row>
    <row r="110" spans="1:14" ht="15.75">
      <c r="A110" s="28"/>
      <c r="B110" s="29"/>
      <c r="C110" s="29"/>
      <c r="D110" s="29"/>
      <c r="E110" s="29"/>
      <c r="F110" s="29"/>
      <c r="G110" s="29"/>
      <c r="H110" s="29"/>
      <c r="I110" s="29"/>
      <c r="J110" s="29"/>
      <c r="K110" s="29"/>
      <c r="L110" s="81"/>
      <c r="M110" s="29"/>
      <c r="N110" s="6"/>
    </row>
    <row r="111" spans="1:14" ht="15.75">
      <c r="A111" s="7"/>
      <c r="B111" s="165" t="s">
        <v>72</v>
      </c>
      <c r="C111" s="15"/>
      <c r="D111" s="9"/>
      <c r="E111" s="9"/>
      <c r="F111" s="9"/>
      <c r="G111" s="82"/>
      <c r="H111" s="9"/>
      <c r="I111" s="9"/>
      <c r="J111" s="9"/>
      <c r="K111" s="9"/>
      <c r="L111" s="83"/>
      <c r="M111" s="9"/>
      <c r="N111" s="6"/>
    </row>
    <row r="112" spans="1:14" ht="15.75">
      <c r="A112" s="7"/>
      <c r="B112" s="15"/>
      <c r="C112" s="19" t="s">
        <v>140</v>
      </c>
      <c r="D112" s="19" t="s">
        <v>150</v>
      </c>
      <c r="E112" s="19" t="s">
        <v>156</v>
      </c>
      <c r="F112" s="19" t="s">
        <v>165</v>
      </c>
      <c r="G112" s="82"/>
      <c r="H112" s="82"/>
      <c r="I112" s="9"/>
      <c r="J112" s="9"/>
      <c r="K112" s="9"/>
      <c r="L112" s="83"/>
      <c r="M112" s="9"/>
      <c r="N112" s="6"/>
    </row>
    <row r="113" spans="1:14" ht="15.75">
      <c r="A113" s="28"/>
      <c r="B113" s="29" t="s">
        <v>73</v>
      </c>
      <c r="C113" s="29">
        <v>1574</v>
      </c>
      <c r="D113" s="29">
        <v>324</v>
      </c>
      <c r="E113" s="29">
        <v>0</v>
      </c>
      <c r="F113" s="29">
        <v>0</v>
      </c>
      <c r="G113" s="84"/>
      <c r="H113" s="84"/>
      <c r="I113" s="29"/>
      <c r="J113" s="29"/>
      <c r="K113" s="29"/>
      <c r="L113" s="67">
        <f>SUM(C113:F113)</f>
        <v>1898</v>
      </c>
      <c r="M113" s="29"/>
      <c r="N113" s="6"/>
    </row>
    <row r="114" spans="1:14" ht="15.75">
      <c r="A114" s="28"/>
      <c r="B114" s="29" t="s">
        <v>74</v>
      </c>
      <c r="C114" s="29">
        <v>338</v>
      </c>
      <c r="D114" s="29">
        <v>0</v>
      </c>
      <c r="E114" s="29">
        <v>0</v>
      </c>
      <c r="F114" s="29">
        <v>3</v>
      </c>
      <c r="G114" s="84"/>
      <c r="H114" s="84"/>
      <c r="I114" s="29"/>
      <c r="J114" s="29"/>
      <c r="K114" s="29"/>
      <c r="L114" s="67">
        <f>SUM(C114:F114)</f>
        <v>341</v>
      </c>
      <c r="M114" s="29"/>
      <c r="N114" s="6"/>
    </row>
    <row r="115" spans="1:14" ht="15.75">
      <c r="A115" s="28"/>
      <c r="B115" s="29" t="s">
        <v>75</v>
      </c>
      <c r="C115" s="29"/>
      <c r="D115" s="29"/>
      <c r="E115" s="29"/>
      <c r="F115" s="29"/>
      <c r="G115" s="29"/>
      <c r="H115" s="29"/>
      <c r="I115" s="29"/>
      <c r="J115" s="29"/>
      <c r="K115" s="29"/>
      <c r="L115" s="67">
        <f>SUM(L113:L114)</f>
        <v>2239</v>
      </c>
      <c r="M115" s="29"/>
      <c r="N115" s="6"/>
    </row>
    <row r="116" spans="1:14" ht="15.75">
      <c r="A116" s="28"/>
      <c r="B116" s="29" t="s">
        <v>76</v>
      </c>
      <c r="C116" s="66">
        <f>L73-C114</f>
        <v>288</v>
      </c>
      <c r="D116" s="29"/>
      <c r="E116" s="29"/>
      <c r="F116" s="29"/>
      <c r="G116" s="29"/>
      <c r="H116" s="29"/>
      <c r="I116" s="29"/>
      <c r="J116" s="29"/>
      <c r="K116" s="29"/>
      <c r="L116" s="85"/>
      <c r="M116" s="29"/>
      <c r="N116" s="6"/>
    </row>
    <row r="117" spans="1:14" ht="15.75">
      <c r="A117" s="7"/>
      <c r="B117" s="165" t="s">
        <v>77</v>
      </c>
      <c r="C117" s="15"/>
      <c r="D117" s="9"/>
      <c r="E117" s="9"/>
      <c r="F117" s="9"/>
      <c r="G117" s="9"/>
      <c r="H117" s="9"/>
      <c r="I117" s="9"/>
      <c r="J117" s="9"/>
      <c r="K117" s="9"/>
      <c r="L117" s="64"/>
      <c r="M117" s="9"/>
      <c r="N117" s="6"/>
    </row>
    <row r="118" spans="1:14" ht="15.75">
      <c r="A118" s="28"/>
      <c r="B118" s="29" t="s">
        <v>78</v>
      </c>
      <c r="C118" s="86"/>
      <c r="D118" s="29"/>
      <c r="E118" s="29"/>
      <c r="F118" s="29"/>
      <c r="G118" s="29"/>
      <c r="H118" s="29"/>
      <c r="I118" s="29"/>
      <c r="J118" s="29"/>
      <c r="K118" s="29"/>
      <c r="L118" s="67">
        <f>L67</f>
        <v>174725</v>
      </c>
      <c r="M118" s="29"/>
      <c r="N118" s="6"/>
    </row>
    <row r="119" spans="1:14" ht="15.75">
      <c r="A119" s="28"/>
      <c r="B119" s="29" t="s">
        <v>79</v>
      </c>
      <c r="C119" s="86"/>
      <c r="D119" s="29"/>
      <c r="E119" s="29"/>
      <c r="F119" s="29"/>
      <c r="G119" s="29"/>
      <c r="H119" s="29"/>
      <c r="I119" s="29"/>
      <c r="J119" s="29"/>
      <c r="K119" s="29"/>
      <c r="L119" s="67">
        <f>L70</f>
        <v>89770</v>
      </c>
      <c r="M119" s="29"/>
      <c r="N119" s="6"/>
    </row>
    <row r="120" spans="1:14" ht="15.75">
      <c r="A120" s="28"/>
      <c r="B120" s="29" t="s">
        <v>80</v>
      </c>
      <c r="C120" s="86"/>
      <c r="D120" s="29"/>
      <c r="E120" s="29"/>
      <c r="F120" s="29"/>
      <c r="G120" s="29"/>
      <c r="H120" s="29"/>
      <c r="I120" s="29"/>
      <c r="J120" s="29"/>
      <c r="K120" s="29"/>
      <c r="L120" s="67">
        <f>L119+L118+L72+L73</f>
        <v>265121</v>
      </c>
      <c r="M120" s="29"/>
      <c r="N120" s="6"/>
    </row>
    <row r="121" spans="1:14" ht="15.75">
      <c r="A121" s="28"/>
      <c r="B121" s="29" t="s">
        <v>81</v>
      </c>
      <c r="C121" s="86"/>
      <c r="D121" s="29"/>
      <c r="E121" s="29"/>
      <c r="F121" s="29"/>
      <c r="G121" s="29"/>
      <c r="H121" s="29"/>
      <c r="I121" s="29"/>
      <c r="J121" s="29"/>
      <c r="K121" s="29"/>
      <c r="L121" s="67">
        <f>L74</f>
        <v>251000</v>
      </c>
      <c r="M121" s="29"/>
      <c r="N121" s="6"/>
    </row>
    <row r="122" spans="1:14" ht="15.75">
      <c r="A122" s="28"/>
      <c r="B122" s="29"/>
      <c r="C122" s="29"/>
      <c r="D122" s="29"/>
      <c r="E122" s="29"/>
      <c r="F122" s="29"/>
      <c r="G122" s="29"/>
      <c r="H122" s="29"/>
      <c r="I122" s="29"/>
      <c r="J122" s="29"/>
      <c r="K122" s="29"/>
      <c r="L122" s="85"/>
      <c r="M122" s="29"/>
      <c r="N122" s="6"/>
    </row>
    <row r="123" spans="1:14" ht="15.75">
      <c r="A123" s="7"/>
      <c r="B123" s="165" t="s">
        <v>82</v>
      </c>
      <c r="C123" s="158"/>
      <c r="D123" s="158"/>
      <c r="E123" s="158"/>
      <c r="F123" s="158"/>
      <c r="G123" s="158"/>
      <c r="H123" s="159" t="s">
        <v>176</v>
      </c>
      <c r="I123" s="166"/>
      <c r="J123" s="159" t="s">
        <v>179</v>
      </c>
      <c r="K123" s="158"/>
      <c r="L123" s="167" t="s">
        <v>131</v>
      </c>
      <c r="M123" s="9"/>
      <c r="N123" s="6"/>
    </row>
    <row r="124" spans="1:14" ht="15.75">
      <c r="A124" s="28"/>
      <c r="B124" s="29" t="s">
        <v>83</v>
      </c>
      <c r="C124" s="29"/>
      <c r="D124" s="29"/>
      <c r="E124" s="29"/>
      <c r="F124" s="29"/>
      <c r="G124" s="29"/>
      <c r="H124" s="67">
        <v>0</v>
      </c>
      <c r="I124" s="29"/>
      <c r="J124" s="89" t="s">
        <v>180</v>
      </c>
      <c r="K124" s="29"/>
      <c r="L124" s="67">
        <f>H124</f>
        <v>0</v>
      </c>
      <c r="M124" s="29"/>
      <c r="N124" s="6"/>
    </row>
    <row r="125" spans="1:14" ht="15.75">
      <c r="A125" s="28"/>
      <c r="B125" s="29" t="s">
        <v>84</v>
      </c>
      <c r="C125" s="29"/>
      <c r="D125" s="29"/>
      <c r="E125" s="29"/>
      <c r="F125" s="29"/>
      <c r="G125" s="29"/>
      <c r="H125" s="67">
        <v>0</v>
      </c>
      <c r="I125" s="29"/>
      <c r="J125" s="89" t="s">
        <v>180</v>
      </c>
      <c r="K125" s="29"/>
      <c r="L125" s="67">
        <f>H125</f>
        <v>0</v>
      </c>
      <c r="M125" s="29"/>
      <c r="N125" s="6"/>
    </row>
    <row r="126" spans="1:14" ht="15.75">
      <c r="A126" s="28"/>
      <c r="B126" s="29" t="s">
        <v>85</v>
      </c>
      <c r="C126" s="29"/>
      <c r="D126" s="29"/>
      <c r="E126" s="29"/>
      <c r="F126" s="29"/>
      <c r="G126" s="29"/>
      <c r="H126" s="67">
        <v>0</v>
      </c>
      <c r="I126" s="29"/>
      <c r="J126" s="89" t="s">
        <v>180</v>
      </c>
      <c r="K126" s="29"/>
      <c r="L126" s="67">
        <f>H126</f>
        <v>0</v>
      </c>
      <c r="M126" s="29"/>
      <c r="N126" s="6"/>
    </row>
    <row r="127" spans="1:14" ht="15.75">
      <c r="A127" s="28"/>
      <c r="B127" s="29" t="s">
        <v>86</v>
      </c>
      <c r="C127" s="29"/>
      <c r="D127" s="29"/>
      <c r="E127" s="29"/>
      <c r="F127" s="29"/>
      <c r="G127" s="29"/>
      <c r="H127" s="67">
        <f>SUM(H125:H126)</f>
        <v>0</v>
      </c>
      <c r="I127" s="29"/>
      <c r="J127" s="89" t="s">
        <v>180</v>
      </c>
      <c r="K127" s="29"/>
      <c r="L127" s="67">
        <f>H127</f>
        <v>0</v>
      </c>
      <c r="M127" s="29"/>
      <c r="N127" s="6"/>
    </row>
    <row r="128" spans="1:14" ht="15.75">
      <c r="A128" s="28"/>
      <c r="B128" s="29" t="s">
        <v>87</v>
      </c>
      <c r="C128" s="29"/>
      <c r="D128" s="29"/>
      <c r="E128" s="29"/>
      <c r="F128" s="29"/>
      <c r="G128" s="29"/>
      <c r="H128" s="67">
        <f>H124-H127</f>
        <v>0</v>
      </c>
      <c r="I128" s="29"/>
      <c r="J128" s="89" t="s">
        <v>180</v>
      </c>
      <c r="K128" s="29"/>
      <c r="L128" s="67">
        <f>H128</f>
        <v>0</v>
      </c>
      <c r="M128" s="29"/>
      <c r="N128" s="6"/>
    </row>
    <row r="129" spans="1:14" ht="15.75">
      <c r="A129" s="28"/>
      <c r="B129" s="29"/>
      <c r="C129" s="29"/>
      <c r="D129" s="29"/>
      <c r="E129" s="29"/>
      <c r="F129" s="29"/>
      <c r="G129" s="29"/>
      <c r="H129" s="29"/>
      <c r="I129" s="29"/>
      <c r="J129" s="29"/>
      <c r="K129" s="29"/>
      <c r="L129" s="29"/>
      <c r="M129" s="29"/>
      <c r="N129" s="6"/>
    </row>
    <row r="130" spans="1:14" ht="15.75">
      <c r="A130" s="28"/>
      <c r="B130" s="32"/>
      <c r="C130" s="32"/>
      <c r="D130" s="32"/>
      <c r="E130" s="32"/>
      <c r="F130" s="32"/>
      <c r="G130" s="32"/>
      <c r="H130" s="32"/>
      <c r="I130" s="32"/>
      <c r="J130" s="32"/>
      <c r="K130" s="32"/>
      <c r="L130" s="32"/>
      <c r="M130" s="32"/>
      <c r="N130" s="6"/>
    </row>
    <row r="131" spans="1:14" ht="15.75">
      <c r="A131" s="90"/>
      <c r="B131" s="63" t="s">
        <v>88</v>
      </c>
      <c r="C131" s="91"/>
      <c r="D131" s="91"/>
      <c r="E131" s="91"/>
      <c r="F131" s="91"/>
      <c r="G131" s="21"/>
      <c r="H131" s="21"/>
      <c r="I131" s="21"/>
      <c r="J131" s="21">
        <v>37134</v>
      </c>
      <c r="K131" s="17"/>
      <c r="L131" s="17"/>
      <c r="M131" s="9"/>
      <c r="N131" s="6"/>
    </row>
    <row r="132" spans="1:14" ht="15.75">
      <c r="A132" s="92"/>
      <c r="B132" s="93" t="s">
        <v>89</v>
      </c>
      <c r="C132" s="94"/>
      <c r="D132" s="94"/>
      <c r="E132" s="94"/>
      <c r="F132" s="94"/>
      <c r="G132" s="95"/>
      <c r="H132" s="95"/>
      <c r="I132" s="95"/>
      <c r="J132" s="96">
        <v>0.1226</v>
      </c>
      <c r="K132" s="29"/>
      <c r="L132" s="29"/>
      <c r="M132" s="29"/>
      <c r="N132" s="6"/>
    </row>
    <row r="133" spans="1:14" ht="15.75">
      <c r="A133" s="92"/>
      <c r="B133" s="93" t="s">
        <v>90</v>
      </c>
      <c r="C133" s="94"/>
      <c r="D133" s="94"/>
      <c r="E133" s="94"/>
      <c r="F133" s="94"/>
      <c r="G133" s="95"/>
      <c r="H133" s="95"/>
      <c r="I133" s="95"/>
      <c r="J133" s="96">
        <f>L32</f>
        <v>0.05822277888446215</v>
      </c>
      <c r="K133" s="96"/>
      <c r="L133" s="29"/>
      <c r="M133" s="29"/>
      <c r="N133" s="6"/>
    </row>
    <row r="134" spans="1:14" ht="15.75">
      <c r="A134" s="92"/>
      <c r="B134" s="93" t="s">
        <v>91</v>
      </c>
      <c r="C134" s="94"/>
      <c r="D134" s="94"/>
      <c r="E134" s="94"/>
      <c r="F134" s="94"/>
      <c r="G134" s="95"/>
      <c r="H134" s="95"/>
      <c r="I134" s="95"/>
      <c r="J134" s="96">
        <f>J132-J133</f>
        <v>0.06437722111553784</v>
      </c>
      <c r="K134" s="29"/>
      <c r="L134" s="29"/>
      <c r="M134" s="29"/>
      <c r="N134" s="6"/>
    </row>
    <row r="135" spans="1:14" ht="15.75">
      <c r="A135" s="92"/>
      <c r="B135" s="93" t="s">
        <v>92</v>
      </c>
      <c r="C135" s="94"/>
      <c r="D135" s="94"/>
      <c r="E135" s="94"/>
      <c r="F135" s="94"/>
      <c r="G135" s="95"/>
      <c r="H135" s="95"/>
      <c r="I135" s="95"/>
      <c r="J135" s="96">
        <v>0.1228</v>
      </c>
      <c r="K135" s="29"/>
      <c r="L135" s="29"/>
      <c r="M135" s="29"/>
      <c r="N135" s="6"/>
    </row>
    <row r="136" spans="1:14" ht="15.75">
      <c r="A136" s="92"/>
      <c r="B136" s="93" t="s">
        <v>93</v>
      </c>
      <c r="C136" s="94"/>
      <c r="D136" s="94"/>
      <c r="E136" s="94"/>
      <c r="F136" s="94"/>
      <c r="G136" s="95"/>
      <c r="H136" s="95"/>
      <c r="I136" s="95"/>
      <c r="J136" s="96">
        <f>L32</f>
        <v>0.05822277888446215</v>
      </c>
      <c r="K136" s="29"/>
      <c r="L136" s="29"/>
      <c r="M136" s="29"/>
      <c r="N136" s="6"/>
    </row>
    <row r="137" spans="1:14" ht="15.75">
      <c r="A137" s="92"/>
      <c r="B137" s="93" t="s">
        <v>94</v>
      </c>
      <c r="C137" s="94"/>
      <c r="D137" s="94"/>
      <c r="E137" s="94"/>
      <c r="F137" s="94"/>
      <c r="G137" s="95"/>
      <c r="H137" s="95"/>
      <c r="I137" s="95"/>
      <c r="J137" s="96">
        <f>J135-J136</f>
        <v>0.06457722111553785</v>
      </c>
      <c r="K137" s="29"/>
      <c r="L137" s="29"/>
      <c r="M137" s="29"/>
      <c r="N137" s="6"/>
    </row>
    <row r="138" spans="1:14" ht="15.75">
      <c r="A138" s="92"/>
      <c r="B138" s="93" t="s">
        <v>95</v>
      </c>
      <c r="C138" s="94"/>
      <c r="D138" s="94"/>
      <c r="E138" s="94"/>
      <c r="F138" s="94"/>
      <c r="G138" s="95"/>
      <c r="H138" s="95"/>
      <c r="I138" s="95"/>
      <c r="J138" s="96" t="s">
        <v>181</v>
      </c>
      <c r="K138" s="29"/>
      <c r="L138" s="29"/>
      <c r="M138" s="29"/>
      <c r="N138" s="6"/>
    </row>
    <row r="139" spans="1:14" ht="15.75">
      <c r="A139" s="92"/>
      <c r="B139" s="93" t="s">
        <v>96</v>
      </c>
      <c r="C139" s="94"/>
      <c r="D139" s="94"/>
      <c r="E139" s="94"/>
      <c r="F139" s="94"/>
      <c r="G139" s="95"/>
      <c r="H139" s="95"/>
      <c r="I139" s="95"/>
      <c r="J139" s="96" t="s">
        <v>182</v>
      </c>
      <c r="K139" s="29"/>
      <c r="L139" s="29"/>
      <c r="M139" s="29"/>
      <c r="N139" s="6"/>
    </row>
    <row r="140" spans="1:14" ht="15.75">
      <c r="A140" s="92"/>
      <c r="B140" s="93" t="s">
        <v>97</v>
      </c>
      <c r="C140" s="94"/>
      <c r="D140" s="94"/>
      <c r="E140" s="94"/>
      <c r="F140" s="94"/>
      <c r="G140" s="95"/>
      <c r="H140" s="95"/>
      <c r="I140" s="95"/>
      <c r="J140" s="96" t="s">
        <v>183</v>
      </c>
      <c r="K140" s="29"/>
      <c r="L140" s="29"/>
      <c r="M140" s="29"/>
      <c r="N140" s="6"/>
    </row>
    <row r="141" spans="1:14" ht="15.75">
      <c r="A141" s="92"/>
      <c r="B141" s="93" t="s">
        <v>98</v>
      </c>
      <c r="C141" s="94"/>
      <c r="D141" s="94"/>
      <c r="E141" s="94"/>
      <c r="F141" s="94"/>
      <c r="G141" s="95"/>
      <c r="H141" s="95"/>
      <c r="I141" s="95"/>
      <c r="J141" s="97">
        <v>4.08</v>
      </c>
      <c r="K141" s="29"/>
      <c r="L141" s="29"/>
      <c r="M141" s="29"/>
      <c r="N141" s="6"/>
    </row>
    <row r="142" spans="1:14" ht="15.75">
      <c r="A142" s="92"/>
      <c r="B142" s="93" t="s">
        <v>99</v>
      </c>
      <c r="C142" s="94"/>
      <c r="D142" s="94"/>
      <c r="E142" s="94"/>
      <c r="F142" s="94"/>
      <c r="G142" s="95"/>
      <c r="H142" s="95"/>
      <c r="I142" s="95"/>
      <c r="J142" s="97">
        <v>4.17</v>
      </c>
      <c r="K142" s="29"/>
      <c r="L142" s="29"/>
      <c r="M142" s="29"/>
      <c r="N142" s="6"/>
    </row>
    <row r="143" spans="1:14" ht="15.75">
      <c r="A143" s="92"/>
      <c r="B143" s="93" t="s">
        <v>100</v>
      </c>
      <c r="C143" s="94"/>
      <c r="D143" s="94"/>
      <c r="E143" s="94"/>
      <c r="F143" s="94"/>
      <c r="G143" s="95"/>
      <c r="H143" s="95"/>
      <c r="I143" s="95"/>
      <c r="J143" s="96">
        <v>0.1427</v>
      </c>
      <c r="K143" s="29"/>
      <c r="L143" s="29"/>
      <c r="M143" s="29"/>
      <c r="N143" s="6"/>
    </row>
    <row r="144" spans="1:14" ht="15.75">
      <c r="A144" s="92"/>
      <c r="B144" s="93" t="s">
        <v>101</v>
      </c>
      <c r="C144" s="94"/>
      <c r="D144" s="94"/>
      <c r="E144" s="94"/>
      <c r="F144" s="94"/>
      <c r="G144" s="95"/>
      <c r="H144" s="95"/>
      <c r="I144" s="95"/>
      <c r="J144" s="96">
        <v>0.4598</v>
      </c>
      <c r="K144" s="29"/>
      <c r="L144" s="29"/>
      <c r="M144" s="29"/>
      <c r="N144" s="6"/>
    </row>
    <row r="145" spans="1:14" ht="15.75">
      <c r="A145" s="92"/>
      <c r="B145" s="93"/>
      <c r="C145" s="93"/>
      <c r="D145" s="93"/>
      <c r="E145" s="93"/>
      <c r="F145" s="93"/>
      <c r="G145" s="29"/>
      <c r="H145" s="29"/>
      <c r="I145" s="36"/>
      <c r="J145" s="98"/>
      <c r="K145" s="29"/>
      <c r="L145" s="99"/>
      <c r="M145" s="29"/>
      <c r="N145" s="6"/>
    </row>
    <row r="146" spans="1:14" ht="15.75">
      <c r="A146" s="90"/>
      <c r="B146" s="100"/>
      <c r="C146" s="100"/>
      <c r="D146" s="100"/>
      <c r="E146" s="100"/>
      <c r="F146" s="100"/>
      <c r="G146" s="9"/>
      <c r="H146" s="9"/>
      <c r="I146" s="22"/>
      <c r="J146" s="101"/>
      <c r="K146" s="9"/>
      <c r="L146" s="102"/>
      <c r="M146" s="9"/>
      <c r="N146" s="6"/>
    </row>
    <row r="147" spans="1:14" ht="16.5" thickBot="1">
      <c r="A147" s="150"/>
      <c r="B147" s="145" t="s">
        <v>35</v>
      </c>
      <c r="C147" s="151"/>
      <c r="D147" s="151"/>
      <c r="E147" s="151"/>
      <c r="F147" s="151"/>
      <c r="G147" s="146"/>
      <c r="H147" s="146"/>
      <c r="I147" s="152"/>
      <c r="J147" s="153"/>
      <c r="K147" s="146"/>
      <c r="L147" s="154"/>
      <c r="M147" s="148"/>
      <c r="N147" s="6"/>
    </row>
    <row r="148" spans="1:14" ht="15.75">
      <c r="A148" s="103"/>
      <c r="B148" s="104"/>
      <c r="C148" s="105"/>
      <c r="D148" s="106"/>
      <c r="E148" s="105"/>
      <c r="F148" s="106"/>
      <c r="G148" s="105"/>
      <c r="H148" s="106"/>
      <c r="I148" s="105"/>
      <c r="J148" s="106"/>
      <c r="K148" s="107"/>
      <c r="L148" s="107"/>
      <c r="M148" s="5"/>
      <c r="N148" s="6"/>
    </row>
    <row r="149" spans="1:14" ht="15.75">
      <c r="A149" s="108"/>
      <c r="B149" s="93" t="s">
        <v>103</v>
      </c>
      <c r="C149" s="68"/>
      <c r="D149" s="68"/>
      <c r="E149" s="68"/>
      <c r="F149" s="29"/>
      <c r="G149" s="29"/>
      <c r="H149" s="29"/>
      <c r="I149" s="29">
        <v>29</v>
      </c>
      <c r="J149" s="67">
        <v>259</v>
      </c>
      <c r="K149" s="67"/>
      <c r="L149" s="99"/>
      <c r="M149" s="109"/>
      <c r="N149" s="6"/>
    </row>
    <row r="150" spans="1:14" ht="15.75">
      <c r="A150" s="108"/>
      <c r="B150" s="93" t="s">
        <v>104</v>
      </c>
      <c r="C150" s="68"/>
      <c r="D150" s="68"/>
      <c r="E150" s="68"/>
      <c r="F150" s="29"/>
      <c r="G150" s="29"/>
      <c r="H150" s="29"/>
      <c r="I150" s="29">
        <v>4</v>
      </c>
      <c r="J150" s="67">
        <v>34</v>
      </c>
      <c r="K150" s="67"/>
      <c r="L150" s="99"/>
      <c r="M150" s="109"/>
      <c r="N150" s="6"/>
    </row>
    <row r="151" spans="1:14" ht="15.75">
      <c r="A151" s="108"/>
      <c r="B151" s="168" t="s">
        <v>105</v>
      </c>
      <c r="C151" s="68"/>
      <c r="D151" s="68"/>
      <c r="E151" s="68"/>
      <c r="F151" s="29"/>
      <c r="G151" s="29"/>
      <c r="H151" s="29"/>
      <c r="I151" s="29"/>
      <c r="J151" s="110">
        <v>0</v>
      </c>
      <c r="K151" s="29"/>
      <c r="L151" s="99"/>
      <c r="M151" s="109"/>
      <c r="N151" s="6"/>
    </row>
    <row r="152" spans="1:14" ht="15.75">
      <c r="A152" s="108"/>
      <c r="B152" s="168" t="s">
        <v>106</v>
      </c>
      <c r="C152" s="68"/>
      <c r="D152" s="68"/>
      <c r="E152" s="68"/>
      <c r="F152" s="29"/>
      <c r="G152" s="29"/>
      <c r="H152" s="29"/>
      <c r="I152" s="29"/>
      <c r="J152" s="67">
        <f>H67</f>
        <v>0</v>
      </c>
      <c r="K152" s="29"/>
      <c r="L152" s="99"/>
      <c r="M152" s="109"/>
      <c r="N152" s="6"/>
    </row>
    <row r="153" spans="1:14" ht="15.75">
      <c r="A153" s="111"/>
      <c r="B153" s="168" t="s">
        <v>107</v>
      </c>
      <c r="C153" s="68"/>
      <c r="D153" s="93"/>
      <c r="E153" s="93"/>
      <c r="F153" s="93"/>
      <c r="G153" s="29"/>
      <c r="H153" s="29"/>
      <c r="I153" s="29"/>
      <c r="J153" s="112"/>
      <c r="K153" s="29"/>
      <c r="L153" s="99"/>
      <c r="M153" s="113"/>
      <c r="N153" s="6"/>
    </row>
    <row r="154" spans="1:14" ht="15.75">
      <c r="A154" s="108"/>
      <c r="B154" s="93" t="s">
        <v>108</v>
      </c>
      <c r="C154" s="68"/>
      <c r="D154" s="68"/>
      <c r="E154" s="68"/>
      <c r="F154" s="68"/>
      <c r="G154" s="29"/>
      <c r="H154" s="29"/>
      <c r="I154" s="29"/>
      <c r="J154" s="67">
        <f>L115</f>
        <v>2239</v>
      </c>
      <c r="K154" s="29"/>
      <c r="L154" s="99"/>
      <c r="M154" s="113"/>
      <c r="N154" s="6"/>
    </row>
    <row r="155" spans="1:14" ht="15.75">
      <c r="A155" s="108"/>
      <c r="B155" s="93" t="s">
        <v>109</v>
      </c>
      <c r="C155" s="68"/>
      <c r="D155" s="68"/>
      <c r="E155" s="68"/>
      <c r="F155" s="68"/>
      <c r="G155" s="29"/>
      <c r="H155" s="29"/>
      <c r="I155" s="29"/>
      <c r="J155" s="67">
        <f>L115</f>
        <v>2239</v>
      </c>
      <c r="K155" s="29"/>
      <c r="L155" s="99"/>
      <c r="M155" s="113"/>
      <c r="N155" s="6"/>
    </row>
    <row r="156" spans="1:14" ht="15.75">
      <c r="A156" s="108"/>
      <c r="B156" s="93" t="s">
        <v>110</v>
      </c>
      <c r="C156" s="68"/>
      <c r="D156" s="68"/>
      <c r="E156" s="68"/>
      <c r="F156" s="68"/>
      <c r="G156" s="29"/>
      <c r="H156" s="29"/>
      <c r="I156" s="29"/>
      <c r="J156" s="67"/>
      <c r="K156" s="29"/>
      <c r="L156" s="99"/>
      <c r="M156" s="113"/>
      <c r="N156" s="6"/>
    </row>
    <row r="157" spans="1:14" ht="15.75">
      <c r="A157" s="108"/>
      <c r="B157" s="93"/>
      <c r="C157" s="68"/>
      <c r="D157" s="68"/>
      <c r="E157" s="68"/>
      <c r="F157" s="68"/>
      <c r="G157" s="29"/>
      <c r="H157" s="29"/>
      <c r="I157" s="29"/>
      <c r="J157" s="67"/>
      <c r="K157" s="29"/>
      <c r="L157" s="99"/>
      <c r="M157" s="113"/>
      <c r="N157" s="6"/>
    </row>
    <row r="158" spans="1:14" ht="15.75">
      <c r="A158" s="111"/>
      <c r="B158" s="168" t="s">
        <v>111</v>
      </c>
      <c r="C158" s="68"/>
      <c r="D158" s="93"/>
      <c r="E158" s="93"/>
      <c r="F158" s="93"/>
      <c r="G158" s="29"/>
      <c r="H158" s="29"/>
      <c r="I158" s="29"/>
      <c r="J158" s="89"/>
      <c r="K158" s="29"/>
      <c r="L158" s="99"/>
      <c r="M158" s="113"/>
      <c r="N158" s="6"/>
    </row>
    <row r="159" spans="1:14" ht="15.75">
      <c r="A159" s="111"/>
      <c r="B159" s="93" t="s">
        <v>112</v>
      </c>
      <c r="C159" s="68"/>
      <c r="D159" s="93"/>
      <c r="E159" s="93"/>
      <c r="F159" s="93"/>
      <c r="G159" s="29"/>
      <c r="H159" s="29"/>
      <c r="I159" s="29"/>
      <c r="J159" s="89">
        <v>0</v>
      </c>
      <c r="K159" s="29"/>
      <c r="L159" s="99"/>
      <c r="M159" s="113"/>
      <c r="N159" s="6"/>
    </row>
    <row r="160" spans="1:14" ht="15.75">
      <c r="A160" s="108"/>
      <c r="B160" s="93" t="s">
        <v>113</v>
      </c>
      <c r="C160" s="68"/>
      <c r="D160" s="114"/>
      <c r="E160" s="114"/>
      <c r="F160" s="115"/>
      <c r="G160" s="29"/>
      <c r="H160" s="29"/>
      <c r="I160" s="29"/>
      <c r="J160" s="89">
        <v>0</v>
      </c>
      <c r="K160" s="29"/>
      <c r="L160" s="99"/>
      <c r="M160" s="113"/>
      <c r="N160" s="6"/>
    </row>
    <row r="161" spans="1:14" ht="15.75">
      <c r="A161" s="108"/>
      <c r="B161" s="93" t="s">
        <v>114</v>
      </c>
      <c r="C161" s="68"/>
      <c r="D161" s="114"/>
      <c r="E161" s="114"/>
      <c r="F161" s="115"/>
      <c r="G161" s="29"/>
      <c r="H161" s="29"/>
      <c r="I161" s="29"/>
      <c r="J161" s="89">
        <v>0</v>
      </c>
      <c r="K161" s="29"/>
      <c r="L161" s="99"/>
      <c r="M161" s="113"/>
      <c r="N161" s="6"/>
    </row>
    <row r="162" spans="1:14" ht="15.75">
      <c r="A162" s="108"/>
      <c r="B162" s="93" t="s">
        <v>115</v>
      </c>
      <c r="C162" s="68"/>
      <c r="D162" s="116"/>
      <c r="E162" s="114"/>
      <c r="F162" s="115"/>
      <c r="G162" s="29"/>
      <c r="H162" s="29"/>
      <c r="I162" s="29"/>
      <c r="J162" s="89">
        <v>0</v>
      </c>
      <c r="K162" s="29"/>
      <c r="L162" s="99"/>
      <c r="M162" s="113"/>
      <c r="N162" s="6"/>
    </row>
    <row r="163" spans="1:14" ht="15.75">
      <c r="A163" s="108"/>
      <c r="B163" s="93"/>
      <c r="C163" s="68"/>
      <c r="D163" s="116"/>
      <c r="E163" s="114"/>
      <c r="F163" s="115"/>
      <c r="G163" s="29"/>
      <c r="H163" s="29"/>
      <c r="I163" s="29"/>
      <c r="J163" s="89"/>
      <c r="K163" s="29"/>
      <c r="L163" s="99"/>
      <c r="M163" s="113"/>
      <c r="N163" s="6"/>
    </row>
    <row r="164" spans="1:14" ht="15.75">
      <c r="A164" s="108"/>
      <c r="B164" s="168" t="s">
        <v>116</v>
      </c>
      <c r="C164" s="68"/>
      <c r="D164" s="68"/>
      <c r="E164" s="116"/>
      <c r="F164" s="114"/>
      <c r="G164" s="115"/>
      <c r="H164" s="29"/>
      <c r="I164" s="36"/>
      <c r="J164" s="36"/>
      <c r="K164" s="117"/>
      <c r="L164" s="36"/>
      <c r="M164" s="99"/>
      <c r="N164" s="6"/>
    </row>
    <row r="165" spans="1:14" ht="15.75">
      <c r="A165" s="108"/>
      <c r="B165" s="93" t="s">
        <v>117</v>
      </c>
      <c r="C165" s="68"/>
      <c r="D165" s="68"/>
      <c r="E165" s="116"/>
      <c r="F165" s="114"/>
      <c r="G165" s="115"/>
      <c r="H165" s="29"/>
      <c r="I165" s="36"/>
      <c r="J165" s="118">
        <v>1</v>
      </c>
      <c r="K165" s="118"/>
      <c r="L165" s="36"/>
      <c r="M165" s="99"/>
      <c r="N165" s="6"/>
    </row>
    <row r="166" spans="1:14" ht="15.75">
      <c r="A166" s="108"/>
      <c r="B166" s="93" t="s">
        <v>113</v>
      </c>
      <c r="C166" s="68"/>
      <c r="D166" s="68"/>
      <c r="E166" s="116"/>
      <c r="F166" s="114"/>
      <c r="G166" s="115"/>
      <c r="H166" s="29"/>
      <c r="I166" s="36"/>
      <c r="J166" s="118">
        <v>2</v>
      </c>
      <c r="K166" s="118"/>
      <c r="L166" s="36"/>
      <c r="M166" s="99"/>
      <c r="N166" s="6"/>
    </row>
    <row r="167" spans="1:14" ht="15.75">
      <c r="A167" s="108"/>
      <c r="B167" s="93" t="s">
        <v>118</v>
      </c>
      <c r="C167" s="68"/>
      <c r="D167" s="68"/>
      <c r="E167" s="116"/>
      <c r="F167" s="114"/>
      <c r="G167" s="115"/>
      <c r="H167" s="29"/>
      <c r="I167" s="36"/>
      <c r="J167" s="118">
        <v>17</v>
      </c>
      <c r="K167" s="118"/>
      <c r="L167" s="36"/>
      <c r="M167" s="99"/>
      <c r="N167" s="6"/>
    </row>
    <row r="168" spans="1:14" ht="15.75">
      <c r="A168" s="108"/>
      <c r="B168" s="93"/>
      <c r="C168" s="68"/>
      <c r="D168" s="116"/>
      <c r="E168" s="114"/>
      <c r="F168" s="115"/>
      <c r="G168" s="29"/>
      <c r="H168" s="29"/>
      <c r="I168" s="29"/>
      <c r="J168" s="89"/>
      <c r="K168" s="29"/>
      <c r="L168" s="99"/>
      <c r="M168" s="113"/>
      <c r="N168" s="6"/>
    </row>
    <row r="169" spans="1:14" ht="15.75">
      <c r="A169" s="28"/>
      <c r="B169" s="119" t="s">
        <v>119</v>
      </c>
      <c r="C169" s="120"/>
      <c r="D169" s="121"/>
      <c r="E169" s="120"/>
      <c r="F169" s="121"/>
      <c r="G169" s="120"/>
      <c r="H169" s="121"/>
      <c r="I169" s="120"/>
      <c r="J169" s="121"/>
      <c r="K169" s="120"/>
      <c r="L169" s="122"/>
      <c r="M169" s="113"/>
      <c r="N169" s="6"/>
    </row>
    <row r="170" spans="1:14" ht="15.75">
      <c r="A170" s="28"/>
      <c r="B170" s="33"/>
      <c r="C170" s="84"/>
      <c r="D170" s="119" t="s">
        <v>151</v>
      </c>
      <c r="E170" s="120"/>
      <c r="F170" s="121"/>
      <c r="G170" s="120"/>
      <c r="H170" s="119" t="s">
        <v>39</v>
      </c>
      <c r="I170" s="120"/>
      <c r="J170" s="121"/>
      <c r="K170" s="120"/>
      <c r="L170" s="122"/>
      <c r="M170" s="113"/>
      <c r="N170" s="6"/>
    </row>
    <row r="171" spans="1:14" ht="15.75">
      <c r="A171" s="28"/>
      <c r="B171" s="84"/>
      <c r="C171" s="121" t="s">
        <v>141</v>
      </c>
      <c r="D171" s="120" t="s">
        <v>152</v>
      </c>
      <c r="E171" s="121" t="s">
        <v>157</v>
      </c>
      <c r="F171" s="120" t="s">
        <v>152</v>
      </c>
      <c r="G171" s="120"/>
      <c r="H171" s="121" t="s">
        <v>141</v>
      </c>
      <c r="I171" s="120" t="s">
        <v>152</v>
      </c>
      <c r="J171" s="121" t="s">
        <v>157</v>
      </c>
      <c r="K171" s="120" t="s">
        <v>152</v>
      </c>
      <c r="L171" s="122"/>
      <c r="M171" s="113"/>
      <c r="N171" s="6"/>
    </row>
    <row r="172" spans="1:14" ht="15.75">
      <c r="A172" s="28"/>
      <c r="B172" s="68" t="s">
        <v>120</v>
      </c>
      <c r="C172" s="123">
        <f>2+11083</f>
        <v>11085</v>
      </c>
      <c r="D172" s="96">
        <f>C172/C176</f>
        <v>0.8245927248382058</v>
      </c>
      <c r="E172" s="123">
        <f>7+56814</f>
        <v>56821</v>
      </c>
      <c r="F172" s="96">
        <f>E172/E176</f>
        <v>0.7890928785690479</v>
      </c>
      <c r="G172" s="120"/>
      <c r="H172" s="123">
        <v>56916</v>
      </c>
      <c r="I172" s="96">
        <f>H172/$H$176</f>
        <v>0.9454799162762882</v>
      </c>
      <c r="J172" s="123">
        <v>38650</v>
      </c>
      <c r="K172" s="96">
        <f>J172/J176</f>
        <v>0.9291312082311649</v>
      </c>
      <c r="L172" s="122"/>
      <c r="M172" s="113"/>
      <c r="N172" s="6"/>
    </row>
    <row r="173" spans="1:14" ht="15.75">
      <c r="A173" s="28"/>
      <c r="B173" s="68" t="s">
        <v>121</v>
      </c>
      <c r="C173" s="123">
        <v>254</v>
      </c>
      <c r="D173" s="96">
        <f>C173/$C$176</f>
        <v>0.01889459198095663</v>
      </c>
      <c r="E173" s="123">
        <v>1438</v>
      </c>
      <c r="F173" s="96">
        <f>E173/$E$176</f>
        <v>0.019970003332963004</v>
      </c>
      <c r="G173" s="120"/>
      <c r="H173" s="123">
        <v>506</v>
      </c>
      <c r="I173" s="96">
        <f>H173/$H$176</f>
        <v>0.008405594870261471</v>
      </c>
      <c r="J173" s="123">
        <v>356</v>
      </c>
      <c r="K173" s="96">
        <f>J173/$J$176</f>
        <v>0.00855810375498822</v>
      </c>
      <c r="L173" s="122"/>
      <c r="M173" s="113"/>
      <c r="N173" s="6"/>
    </row>
    <row r="174" spans="1:14" ht="15.75">
      <c r="A174" s="28"/>
      <c r="B174" s="68" t="s">
        <v>122</v>
      </c>
      <c r="C174" s="123">
        <v>195</v>
      </c>
      <c r="D174" s="96">
        <f>C174/$C$176</f>
        <v>0.014505690694041508</v>
      </c>
      <c r="E174" s="123">
        <v>1214</v>
      </c>
      <c r="F174" s="96">
        <f>E174/$E$176</f>
        <v>0.016859237862459728</v>
      </c>
      <c r="G174" s="120"/>
      <c r="H174" s="123">
        <v>410</v>
      </c>
      <c r="I174" s="96">
        <f>H174/$H$176</f>
        <v>0.006810857503571547</v>
      </c>
      <c r="J174" s="123">
        <v>352</v>
      </c>
      <c r="K174" s="96">
        <f>J174/$J$176</f>
        <v>0.00846194528583105</v>
      </c>
      <c r="L174" s="122"/>
      <c r="M174" s="113"/>
      <c r="N174" s="6"/>
    </row>
    <row r="175" spans="1:14" ht="15.75">
      <c r="A175" s="28"/>
      <c r="B175" s="68" t="s">
        <v>123</v>
      </c>
      <c r="C175" s="123">
        <v>1909</v>
      </c>
      <c r="D175" s="96">
        <f>C175/$C$176</f>
        <v>0.1420069924867961</v>
      </c>
      <c r="E175" s="123">
        <f>83208-11207-E174-E173-E172+7</f>
        <v>12535</v>
      </c>
      <c r="F175" s="96">
        <f>E175/$E$176</f>
        <v>0.1740778802355294</v>
      </c>
      <c r="G175" s="120"/>
      <c r="H175" s="123">
        <v>2366</v>
      </c>
      <c r="I175" s="96">
        <f>H175/$H$176</f>
        <v>0.039303631349878736</v>
      </c>
      <c r="J175" s="123">
        <f>42724-1126-J174-J173-J172</f>
        <v>2240</v>
      </c>
      <c r="K175" s="96">
        <f>J175/$J$176</f>
        <v>0.05384874272801577</v>
      </c>
      <c r="L175" s="122"/>
      <c r="M175" s="113"/>
      <c r="N175" s="6"/>
    </row>
    <row r="176" spans="1:14" ht="15.75">
      <c r="A176" s="28"/>
      <c r="B176" s="68" t="s">
        <v>124</v>
      </c>
      <c r="C176" s="123">
        <f>SUM(C172:C175)</f>
        <v>13443</v>
      </c>
      <c r="D176" s="96">
        <f>SUM(D172:D175)</f>
        <v>1</v>
      </c>
      <c r="E176" s="123">
        <f>SUM(E172:E175)</f>
        <v>72008</v>
      </c>
      <c r="F176" s="96">
        <f>SUM(F172:F175)</f>
        <v>1</v>
      </c>
      <c r="G176" s="120"/>
      <c r="H176" s="123">
        <f>SUM(H172:H175)</f>
        <v>60198</v>
      </c>
      <c r="I176" s="96">
        <f>SUM(I172:I175)</f>
        <v>1</v>
      </c>
      <c r="J176" s="123">
        <f>SUM(J172:J175)</f>
        <v>41598</v>
      </c>
      <c r="K176" s="96">
        <f>SUM(K172:K175)</f>
        <v>0.9999999999999999</v>
      </c>
      <c r="L176" s="122"/>
      <c r="M176" s="113"/>
      <c r="N176" s="6"/>
    </row>
    <row r="177" spans="1:14" ht="15.75">
      <c r="A177" s="28"/>
      <c r="B177" s="68" t="s">
        <v>125</v>
      </c>
      <c r="C177" s="123">
        <v>1742</v>
      </c>
      <c r="D177" s="124"/>
      <c r="E177" s="123">
        <v>11207</v>
      </c>
      <c r="F177" s="124"/>
      <c r="G177" s="120"/>
      <c r="H177" s="123">
        <v>838</v>
      </c>
      <c r="I177" s="124"/>
      <c r="J177" s="123">
        <v>1126</v>
      </c>
      <c r="K177" s="124"/>
      <c r="L177" s="122"/>
      <c r="M177" s="113"/>
      <c r="N177" s="6"/>
    </row>
    <row r="178" spans="1:14" ht="15.75">
      <c r="A178" s="28"/>
      <c r="B178" s="68" t="s">
        <v>126</v>
      </c>
      <c r="C178" s="123">
        <f>SUM(C176:C177)</f>
        <v>15185</v>
      </c>
      <c r="D178" s="84"/>
      <c r="E178" s="123">
        <f>SUM(E176:E177)</f>
        <v>83215</v>
      </c>
      <c r="F178" s="96"/>
      <c r="G178" s="84"/>
      <c r="H178" s="123">
        <f>SUM(H176:H177)</f>
        <v>61036</v>
      </c>
      <c r="I178" s="84"/>
      <c r="J178" s="123">
        <f>SUM(J176:J177)</f>
        <v>42724</v>
      </c>
      <c r="K178" s="84"/>
      <c r="L178" s="84"/>
      <c r="M178" s="113"/>
      <c r="N178" s="6"/>
    </row>
    <row r="179" spans="1:14" ht="15.75">
      <c r="A179" s="28"/>
      <c r="B179" s="68"/>
      <c r="C179" s="123"/>
      <c r="D179" s="96"/>
      <c r="E179" s="123"/>
      <c r="F179" s="96"/>
      <c r="G179" s="120"/>
      <c r="H179" s="123"/>
      <c r="I179" s="96"/>
      <c r="J179" s="123"/>
      <c r="K179" s="96"/>
      <c r="L179" s="122"/>
      <c r="M179" s="113"/>
      <c r="N179" s="6"/>
    </row>
    <row r="180" spans="1:14" ht="15.75">
      <c r="A180" s="28"/>
      <c r="B180" s="68"/>
      <c r="C180" s="120"/>
      <c r="D180" s="119" t="s">
        <v>40</v>
      </c>
      <c r="E180" s="120"/>
      <c r="F180" s="125"/>
      <c r="G180" s="120"/>
      <c r="H180" s="119" t="s">
        <v>41</v>
      </c>
      <c r="I180" s="120"/>
      <c r="J180" s="121"/>
      <c r="K180" s="120"/>
      <c r="L180" s="122"/>
      <c r="M180" s="113"/>
      <c r="N180" s="6"/>
    </row>
    <row r="181" spans="1:14" ht="15.75">
      <c r="A181" s="28"/>
      <c r="B181" s="84"/>
      <c r="C181" s="121" t="s">
        <v>141</v>
      </c>
      <c r="D181" s="120" t="s">
        <v>152</v>
      </c>
      <c r="E181" s="121" t="s">
        <v>157</v>
      </c>
      <c r="F181" s="120" t="s">
        <v>152</v>
      </c>
      <c r="G181" s="120"/>
      <c r="H181" s="121" t="s">
        <v>141</v>
      </c>
      <c r="I181" s="120" t="s">
        <v>152</v>
      </c>
      <c r="J181" s="121" t="s">
        <v>157</v>
      </c>
      <c r="K181" s="120" t="s">
        <v>152</v>
      </c>
      <c r="L181" s="122"/>
      <c r="M181" s="113"/>
      <c r="N181" s="6"/>
    </row>
    <row r="182" spans="1:14" ht="15.75">
      <c r="A182" s="28"/>
      <c r="B182" s="68" t="s">
        <v>120</v>
      </c>
      <c r="C182" s="123">
        <v>1747</v>
      </c>
      <c r="D182" s="96">
        <f>C182/$C$186</f>
        <v>0.9765231973169368</v>
      </c>
      <c r="E182" s="123">
        <v>24025</v>
      </c>
      <c r="F182" s="96">
        <f>E182/E186</f>
        <v>0.9823765129211646</v>
      </c>
      <c r="G182" s="120"/>
      <c r="H182" s="123">
        <v>3394</v>
      </c>
      <c r="I182" s="96">
        <f>H182/$H$186</f>
        <v>0.9854819976771196</v>
      </c>
      <c r="J182" s="123">
        <v>23990</v>
      </c>
      <c r="K182" s="96">
        <f>J182/J186</f>
        <v>0.9859849574616744</v>
      </c>
      <c r="L182" s="122"/>
      <c r="M182" s="113"/>
      <c r="N182" s="6"/>
    </row>
    <row r="183" spans="1:14" ht="15.75">
      <c r="A183" s="28"/>
      <c r="B183" s="68" t="s">
        <v>121</v>
      </c>
      <c r="C183" s="123">
        <v>22</v>
      </c>
      <c r="D183" s="96">
        <f>C183/$C$186</f>
        <v>0.012297372833985467</v>
      </c>
      <c r="E183" s="123">
        <v>236</v>
      </c>
      <c r="F183" s="96">
        <f>E183/$E$186</f>
        <v>0.009649983644095519</v>
      </c>
      <c r="G183" s="120"/>
      <c r="H183" s="123">
        <v>21</v>
      </c>
      <c r="I183" s="96">
        <f>H183/$H$186</f>
        <v>0.006097560975609756</v>
      </c>
      <c r="J183" s="123">
        <v>166</v>
      </c>
      <c r="K183" s="96">
        <f>J183/$J$186</f>
        <v>0.006822572027454688</v>
      </c>
      <c r="L183" s="122"/>
      <c r="M183" s="113"/>
      <c r="N183" s="6"/>
    </row>
    <row r="184" spans="1:14" ht="15.75">
      <c r="A184" s="28"/>
      <c r="B184" s="68" t="s">
        <v>122</v>
      </c>
      <c r="C184" s="123">
        <v>6</v>
      </c>
      <c r="D184" s="96">
        <f>C184/$C$186</f>
        <v>0.003353828954723309</v>
      </c>
      <c r="E184" s="123">
        <v>76</v>
      </c>
      <c r="F184" s="96">
        <f>E184/$E$186</f>
        <v>0.0031076218514883873</v>
      </c>
      <c r="G184" s="120"/>
      <c r="H184" s="123">
        <v>7</v>
      </c>
      <c r="I184" s="96">
        <f>H184/$H$186</f>
        <v>0.0020325203252032522</v>
      </c>
      <c r="J184" s="123">
        <v>51</v>
      </c>
      <c r="K184" s="96">
        <f>J184/$J$186</f>
        <v>0.002096091406025235</v>
      </c>
      <c r="L184" s="122"/>
      <c r="M184" s="113"/>
      <c r="N184" s="6"/>
    </row>
    <row r="185" spans="1:14" ht="15.75">
      <c r="A185" s="28"/>
      <c r="B185" s="68" t="s">
        <v>123</v>
      </c>
      <c r="C185" s="123">
        <v>14</v>
      </c>
      <c r="D185" s="96">
        <f>C185/$C$186</f>
        <v>0.007825600894354388</v>
      </c>
      <c r="E185" s="123">
        <f>24456-E184-E183-E182</f>
        <v>119</v>
      </c>
      <c r="F185" s="96">
        <f>E185/$E$186</f>
        <v>0.004865881583251554</v>
      </c>
      <c r="G185" s="120"/>
      <c r="H185" s="123">
        <v>22</v>
      </c>
      <c r="I185" s="96">
        <f>H185/$H$186</f>
        <v>0.006387921022067364</v>
      </c>
      <c r="J185" s="123">
        <f>24331-J184-J183-J182</f>
        <v>124</v>
      </c>
      <c r="K185" s="96">
        <f>J185/$J$186</f>
        <v>0.00509637910484567</v>
      </c>
      <c r="L185" s="122"/>
      <c r="M185" s="113"/>
      <c r="N185" s="6"/>
    </row>
    <row r="186" spans="1:14" ht="15.75">
      <c r="A186" s="28"/>
      <c r="B186" s="68" t="str">
        <f>B176</f>
        <v>Total Performing  Assets</v>
      </c>
      <c r="C186" s="123">
        <f>SUM(C182:C185)</f>
        <v>1789</v>
      </c>
      <c r="D186" s="96">
        <f>SUM(D182:D185)</f>
        <v>1</v>
      </c>
      <c r="E186" s="123">
        <f>SUM(E182:E185)</f>
        <v>24456</v>
      </c>
      <c r="F186" s="96">
        <f>SUM(F182:F185)</f>
        <v>1</v>
      </c>
      <c r="G186" s="120"/>
      <c r="H186" s="123">
        <f>SUM(H182:H185)</f>
        <v>3444</v>
      </c>
      <c r="I186" s="96">
        <f>SUM(I182:I185)</f>
        <v>1</v>
      </c>
      <c r="J186" s="123">
        <f>SUM(J182:J185)</f>
        <v>24331</v>
      </c>
      <c r="K186" s="96">
        <f>SUM(K182:K185)</f>
        <v>0.9999999999999999</v>
      </c>
      <c r="L186" s="122"/>
      <c r="M186" s="113"/>
      <c r="N186" s="6"/>
    </row>
    <row r="187" spans="1:14" ht="15.75">
      <c r="A187" s="28"/>
      <c r="B187" s="68" t="s">
        <v>125</v>
      </c>
      <c r="C187" s="123">
        <v>0</v>
      </c>
      <c r="D187" s="126"/>
      <c r="E187" s="123">
        <v>0</v>
      </c>
      <c r="F187" s="124"/>
      <c r="G187" s="120"/>
      <c r="H187" s="123">
        <v>0</v>
      </c>
      <c r="I187" s="126"/>
      <c r="J187" s="123">
        <v>0</v>
      </c>
      <c r="K187" s="126"/>
      <c r="L187" s="122"/>
      <c r="M187" s="113"/>
      <c r="N187" s="6"/>
    </row>
    <row r="188" spans="1:14" ht="15.75">
      <c r="A188" s="28"/>
      <c r="B188" s="68" t="s">
        <v>126</v>
      </c>
      <c r="C188" s="123">
        <f>SUM(C186:C187)</f>
        <v>1789</v>
      </c>
      <c r="D188" s="84"/>
      <c r="E188" s="123">
        <f>SUM(E186:E187)</f>
        <v>24456</v>
      </c>
      <c r="F188" s="127"/>
      <c r="G188" s="84"/>
      <c r="H188" s="123">
        <f>SUM(H186:H187)</f>
        <v>3444</v>
      </c>
      <c r="I188" s="84"/>
      <c r="J188" s="123">
        <f>SUM(J186:J187)</f>
        <v>24331</v>
      </c>
      <c r="K188" s="84"/>
      <c r="L188" s="84"/>
      <c r="M188" s="84"/>
      <c r="N188" s="6"/>
    </row>
    <row r="189" spans="1:14" ht="15.75">
      <c r="A189" s="28"/>
      <c r="B189" s="68"/>
      <c r="C189" s="120"/>
      <c r="D189" s="121"/>
      <c r="E189" s="120"/>
      <c r="F189" s="121"/>
      <c r="G189" s="120"/>
      <c r="H189" s="128"/>
      <c r="I189" s="120"/>
      <c r="J189" s="123"/>
      <c r="K189" s="120"/>
      <c r="L189" s="122"/>
      <c r="M189" s="113"/>
      <c r="N189" s="6"/>
    </row>
    <row r="190" spans="1:14" ht="15.75">
      <c r="A190" s="28"/>
      <c r="B190" s="68" t="s">
        <v>126</v>
      </c>
      <c r="C190" s="120"/>
      <c r="D190" s="121"/>
      <c r="E190" s="120"/>
      <c r="F190" s="121"/>
      <c r="G190" s="120"/>
      <c r="H190" s="128"/>
      <c r="I190" s="126"/>
      <c r="J190" s="123">
        <f>E178+J178+E188+J188</f>
        <v>174726</v>
      </c>
      <c r="K190" s="127"/>
      <c r="L190" s="122"/>
      <c r="M190" s="113"/>
      <c r="N190" s="6"/>
    </row>
    <row r="191" spans="1:14" ht="15.75">
      <c r="A191" s="28"/>
      <c r="B191" s="68"/>
      <c r="C191" s="120"/>
      <c r="D191" s="121"/>
      <c r="E191" s="120"/>
      <c r="F191" s="121"/>
      <c r="G191" s="120"/>
      <c r="H191" s="121"/>
      <c r="I191" s="120"/>
      <c r="J191" s="123"/>
      <c r="K191" s="126"/>
      <c r="L191" s="122"/>
      <c r="M191" s="113"/>
      <c r="N191" s="6"/>
    </row>
    <row r="192" spans="1:14" ht="15.75">
      <c r="A192" s="28"/>
      <c r="B192" s="129" t="s">
        <v>127</v>
      </c>
      <c r="C192" s="120"/>
      <c r="D192" s="121"/>
      <c r="E192" s="120"/>
      <c r="F192" s="121"/>
      <c r="G192" s="120"/>
      <c r="H192" s="121"/>
      <c r="I192" s="120"/>
      <c r="J192" s="123"/>
      <c r="K192" s="120"/>
      <c r="L192" s="122"/>
      <c r="M192" s="113"/>
      <c r="N192" s="6"/>
    </row>
    <row r="193" spans="1:14" ht="15.75">
      <c r="A193" s="28"/>
      <c r="B193" s="68"/>
      <c r="C193" s="120"/>
      <c r="D193" s="121"/>
      <c r="E193" s="120"/>
      <c r="F193" s="121"/>
      <c r="G193" s="120"/>
      <c r="H193" s="121"/>
      <c r="I193" s="120"/>
      <c r="J193" s="123"/>
      <c r="K193" s="120"/>
      <c r="L193" s="122"/>
      <c r="M193" s="113"/>
      <c r="N193" s="6"/>
    </row>
    <row r="194" spans="1:14" ht="15.75">
      <c r="A194" s="28"/>
      <c r="B194" s="68" t="s">
        <v>128</v>
      </c>
      <c r="C194" s="120"/>
      <c r="D194" s="121"/>
      <c r="E194" s="120"/>
      <c r="F194" s="121"/>
      <c r="G194" s="120"/>
      <c r="H194" s="121"/>
      <c r="I194" s="120"/>
      <c r="J194" s="123">
        <f>J186+E186+J176+E176</f>
        <v>162393</v>
      </c>
      <c r="K194" s="120"/>
      <c r="L194" s="122"/>
      <c r="M194" s="113"/>
      <c r="N194" s="6"/>
    </row>
    <row r="195" spans="1:14" ht="15.75">
      <c r="A195" s="28"/>
      <c r="B195" s="68" t="s">
        <v>129</v>
      </c>
      <c r="C195" s="120"/>
      <c r="D195" s="121"/>
      <c r="E195" s="120"/>
      <c r="F195" s="121"/>
      <c r="G195" s="120"/>
      <c r="H195" s="121"/>
      <c r="I195" s="120"/>
      <c r="J195" s="123">
        <f>L92</f>
        <v>90396</v>
      </c>
      <c r="K195" s="120"/>
      <c r="L195" s="122"/>
      <c r="M195" s="113"/>
      <c r="N195" s="6"/>
    </row>
    <row r="196" spans="1:14" ht="15.75">
      <c r="A196" s="28"/>
      <c r="B196" s="68" t="s">
        <v>130</v>
      </c>
      <c r="C196" s="120"/>
      <c r="D196" s="121"/>
      <c r="E196" s="120"/>
      <c r="F196" s="121"/>
      <c r="G196" s="120"/>
      <c r="H196" s="121"/>
      <c r="I196" s="120"/>
      <c r="J196" s="123">
        <v>-1789</v>
      </c>
      <c r="K196" s="120"/>
      <c r="L196" s="122"/>
      <c r="M196" s="113"/>
      <c r="N196" s="6"/>
    </row>
    <row r="197" spans="1:14" ht="15.75">
      <c r="A197" s="28"/>
      <c r="B197" s="68" t="s">
        <v>131</v>
      </c>
      <c r="C197" s="120"/>
      <c r="D197" s="121"/>
      <c r="E197" s="120"/>
      <c r="F197" s="121"/>
      <c r="G197" s="120"/>
      <c r="H197" s="121"/>
      <c r="I197" s="120"/>
      <c r="J197" s="123">
        <f>SUM(J194:J196)</f>
        <v>251000</v>
      </c>
      <c r="K197" s="120"/>
      <c r="L197" s="122"/>
      <c r="M197" s="113"/>
      <c r="N197" s="6"/>
    </row>
    <row r="198" spans="1:14" ht="15.75">
      <c r="A198" s="28"/>
      <c r="B198" s="68"/>
      <c r="C198" s="120"/>
      <c r="D198" s="121"/>
      <c r="E198" s="120"/>
      <c r="F198" s="121"/>
      <c r="G198" s="120"/>
      <c r="H198" s="121"/>
      <c r="I198" s="120"/>
      <c r="J198" s="123"/>
      <c r="K198" s="120"/>
      <c r="L198" s="122"/>
      <c r="M198" s="113"/>
      <c r="N198" s="6"/>
    </row>
    <row r="199" spans="1:14" ht="15.75">
      <c r="A199" s="28"/>
      <c r="B199" s="68" t="s">
        <v>132</v>
      </c>
      <c r="C199" s="120"/>
      <c r="D199" s="121"/>
      <c r="E199" s="120"/>
      <c r="F199" s="121"/>
      <c r="G199" s="120"/>
      <c r="H199" s="121"/>
      <c r="I199" s="120"/>
      <c r="J199" s="123">
        <f>L30</f>
        <v>251000</v>
      </c>
      <c r="K199" s="120"/>
      <c r="L199" s="122"/>
      <c r="M199" s="113"/>
      <c r="N199" s="6"/>
    </row>
    <row r="200" spans="1:14" ht="15.75">
      <c r="A200" s="28"/>
      <c r="B200" s="68"/>
      <c r="C200" s="120"/>
      <c r="D200" s="121"/>
      <c r="E200" s="120"/>
      <c r="F200" s="121"/>
      <c r="G200" s="120"/>
      <c r="H200" s="121"/>
      <c r="I200" s="120"/>
      <c r="J200" s="123"/>
      <c r="K200" s="120"/>
      <c r="L200" s="122"/>
      <c r="M200" s="113"/>
      <c r="N200" s="6"/>
    </row>
    <row r="201" spans="1:14" ht="15.75">
      <c r="A201" s="28"/>
      <c r="B201" s="68" t="s">
        <v>133</v>
      </c>
      <c r="C201" s="120"/>
      <c r="D201" s="121"/>
      <c r="E201" s="120"/>
      <c r="F201" s="121"/>
      <c r="G201" s="120"/>
      <c r="H201" s="121"/>
      <c r="I201" s="120"/>
      <c r="J201" s="123">
        <f>J197/J199</f>
        <v>1</v>
      </c>
      <c r="K201" s="120"/>
      <c r="L201" s="122"/>
      <c r="M201" s="113"/>
      <c r="N201" s="6"/>
    </row>
    <row r="202" spans="1:14" ht="15.75">
      <c r="A202" s="28"/>
      <c r="B202" s="29"/>
      <c r="C202" s="29"/>
      <c r="D202" s="36"/>
      <c r="E202" s="29"/>
      <c r="F202" s="29"/>
      <c r="G202" s="29"/>
      <c r="H202" s="66"/>
      <c r="I202" s="130"/>
      <c r="J202" s="67"/>
      <c r="K202" s="130"/>
      <c r="L202" s="99"/>
      <c r="M202" s="29"/>
      <c r="N202" s="6"/>
    </row>
    <row r="203" spans="1:14" ht="15.75">
      <c r="A203" s="131"/>
      <c r="B203" s="33" t="s">
        <v>134</v>
      </c>
      <c r="C203" s="132"/>
      <c r="D203" s="120" t="s">
        <v>153</v>
      </c>
      <c r="E203" s="122"/>
      <c r="F203" s="33" t="s">
        <v>166</v>
      </c>
      <c r="G203" s="133"/>
      <c r="H203" s="133"/>
      <c r="I203" s="133"/>
      <c r="J203" s="134"/>
      <c r="K203" s="32"/>
      <c r="L203" s="32"/>
      <c r="M203" s="32"/>
      <c r="N203" s="6"/>
    </row>
    <row r="204" spans="1:14" ht="15.75">
      <c r="A204" s="135"/>
      <c r="B204" s="15" t="s">
        <v>135</v>
      </c>
      <c r="C204" s="136"/>
      <c r="D204" s="137" t="s">
        <v>154</v>
      </c>
      <c r="E204" s="15"/>
      <c r="F204" s="15" t="s">
        <v>167</v>
      </c>
      <c r="G204" s="136"/>
      <c r="H204" s="136"/>
      <c r="I204" s="14"/>
      <c r="J204" s="14"/>
      <c r="K204" s="14"/>
      <c r="L204" s="14"/>
      <c r="M204" s="14"/>
      <c r="N204" s="6"/>
    </row>
    <row r="205" spans="1:14" ht="15.75">
      <c r="A205" s="135"/>
      <c r="B205" s="15" t="s">
        <v>136</v>
      </c>
      <c r="C205" s="136"/>
      <c r="D205" s="137" t="s">
        <v>155</v>
      </c>
      <c r="E205" s="15"/>
      <c r="F205" s="15" t="s">
        <v>168</v>
      </c>
      <c r="G205" s="136"/>
      <c r="H205" s="136"/>
      <c r="I205" s="14"/>
      <c r="J205" s="14"/>
      <c r="K205" s="14"/>
      <c r="L205" s="14"/>
      <c r="M205" s="14"/>
      <c r="N205" s="6"/>
    </row>
    <row r="206" spans="1:14" ht="15.75">
      <c r="A206" s="135"/>
      <c r="B206" s="15"/>
      <c r="C206" s="136"/>
      <c r="D206" s="137"/>
      <c r="E206" s="15"/>
      <c r="F206" s="15"/>
      <c r="G206" s="136"/>
      <c r="H206" s="136"/>
      <c r="I206" s="14"/>
      <c r="J206" s="14"/>
      <c r="K206" s="14"/>
      <c r="L206" s="14"/>
      <c r="M206" s="14"/>
      <c r="N206" s="6"/>
    </row>
    <row r="207" spans="1:14" ht="15.75">
      <c r="A207" s="135"/>
      <c r="B207" s="15"/>
      <c r="C207" s="136"/>
      <c r="D207" s="137"/>
      <c r="E207" s="15"/>
      <c r="F207" s="15"/>
      <c r="G207" s="136"/>
      <c r="H207" s="136"/>
      <c r="I207" s="14"/>
      <c r="J207" s="14"/>
      <c r="K207" s="14"/>
      <c r="L207" s="14"/>
      <c r="M207" s="14"/>
      <c r="N207" s="6"/>
    </row>
    <row r="208" spans="1:14" ht="15.75">
      <c r="A208" s="135"/>
      <c r="B208" s="15" t="s">
        <v>35</v>
      </c>
      <c r="C208" s="136"/>
      <c r="D208" s="137"/>
      <c r="E208" s="15"/>
      <c r="F208" s="15"/>
      <c r="G208" s="136"/>
      <c r="H208" s="136"/>
      <c r="I208" s="14"/>
      <c r="J208" s="14"/>
      <c r="K208" s="14"/>
      <c r="L208" s="14"/>
      <c r="M208" s="14"/>
      <c r="N208" s="6"/>
    </row>
    <row r="209" spans="1:13" ht="15">
      <c r="A209" s="138"/>
      <c r="B209" s="138"/>
      <c r="C209" s="138"/>
      <c r="D209" s="138"/>
      <c r="E209" s="138"/>
      <c r="F209" s="138"/>
      <c r="G209" s="138"/>
      <c r="H209" s="138"/>
      <c r="I209" s="138"/>
      <c r="J209" s="138"/>
      <c r="K209" s="138"/>
      <c r="L209" s="138"/>
      <c r="M209" s="138"/>
    </row>
  </sheetData>
  <printOptions horizontalCentered="1" verticalCentered="1"/>
  <pageMargins left="0.2362204724409449" right="0.4330708661417323" top="0.2362204724409449" bottom="0.7480314960629921" header="0" footer="0"/>
  <pageSetup horizontalDpi="600" verticalDpi="600" orientation="landscape" paperSize="9" scale="50" r:id="rId2"/>
  <rowBreaks count="4" manualBreakCount="4">
    <brk id="50" max="13" man="1"/>
    <brk id="96" max="13" man="1"/>
    <brk id="147" max="13" man="1"/>
    <brk id="214" max="0" man="1"/>
  </rowBreaks>
  <drawing r:id="rId1"/>
</worksheet>
</file>

<file path=xl/worksheets/sheet10.xml><?xml version="1.0" encoding="utf-8"?>
<worksheet xmlns="http://schemas.openxmlformats.org/spreadsheetml/2006/main" xmlns:r="http://schemas.openxmlformats.org/officeDocument/2006/relationships">
  <dimension ref="A1:P210"/>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1.6640625" style="1" customWidth="1"/>
    <col min="3" max="3" width="16.6640625" style="1" customWidth="1"/>
    <col min="4" max="4" width="14.6640625" style="1" customWidth="1"/>
    <col min="5" max="5" width="12.4453125" style="1" customWidth="1"/>
    <col min="6" max="6" width="14.6640625" style="1" customWidth="1"/>
    <col min="7" max="7" width="7.6640625" style="1" customWidth="1"/>
    <col min="8" max="8" width="13.6640625" style="1" customWidth="1"/>
    <col min="9" max="9" width="9.6640625" style="1" customWidth="1"/>
    <col min="10" max="10" width="13.6640625" style="1" customWidth="1"/>
    <col min="11" max="11" width="8.6640625" style="1" customWidth="1"/>
    <col min="12" max="12" width="15.6640625" style="1" customWidth="1"/>
    <col min="13" max="13" width="11.886718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8"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2" t="s">
        <v>2</v>
      </c>
      <c r="C5" s="13"/>
      <c r="D5" s="9"/>
      <c r="E5" s="9"/>
      <c r="F5" s="9"/>
      <c r="G5" s="9"/>
      <c r="H5" s="9"/>
      <c r="I5" s="9"/>
      <c r="J5" s="9"/>
      <c r="K5" s="9"/>
      <c r="L5" s="9"/>
      <c r="M5" s="9"/>
      <c r="N5" s="6"/>
    </row>
    <row r="6" spans="1:14" ht="15.75">
      <c r="A6" s="7"/>
      <c r="B6" s="12" t="s">
        <v>3</v>
      </c>
      <c r="C6" s="13"/>
      <c r="D6" s="9"/>
      <c r="E6" s="9"/>
      <c r="F6" s="9"/>
      <c r="G6" s="9"/>
      <c r="H6" s="9"/>
      <c r="I6" s="9"/>
      <c r="J6" s="9"/>
      <c r="K6" s="9"/>
      <c r="L6" s="9"/>
      <c r="M6" s="9"/>
      <c r="N6" s="6"/>
    </row>
    <row r="7" spans="1:14" ht="15.75">
      <c r="A7" s="7"/>
      <c r="B7" s="12" t="s">
        <v>4</v>
      </c>
      <c r="C7" s="13"/>
      <c r="D7" s="9"/>
      <c r="E7" s="9"/>
      <c r="F7" s="9"/>
      <c r="G7" s="9"/>
      <c r="H7" s="9"/>
      <c r="I7" s="9"/>
      <c r="J7" s="9"/>
      <c r="K7" s="9"/>
      <c r="L7" s="9"/>
      <c r="M7" s="9"/>
      <c r="N7" s="6"/>
    </row>
    <row r="8" spans="1:14" ht="15.75">
      <c r="A8" s="7"/>
      <c r="B8" s="14"/>
      <c r="C8" s="13"/>
      <c r="D8" s="9"/>
      <c r="E8" s="9"/>
      <c r="F8" s="9"/>
      <c r="G8" s="9"/>
      <c r="H8" s="9"/>
      <c r="I8" s="9"/>
      <c r="J8" s="9"/>
      <c r="K8" s="9"/>
      <c r="L8" s="9"/>
      <c r="M8" s="9"/>
      <c r="N8" s="6"/>
    </row>
    <row r="9" spans="1:14" ht="15.75">
      <c r="A9" s="7"/>
      <c r="B9" s="13"/>
      <c r="C9" s="13"/>
      <c r="D9" s="15"/>
      <c r="E9" s="15"/>
      <c r="F9" s="9"/>
      <c r="G9" s="9"/>
      <c r="H9" s="9"/>
      <c r="I9" s="9"/>
      <c r="J9" s="9"/>
      <c r="K9" s="9"/>
      <c r="L9" s="9"/>
      <c r="M9" s="9"/>
      <c r="N9" s="6"/>
    </row>
    <row r="10" spans="1:14" ht="15.75">
      <c r="A10" s="7"/>
      <c r="B10" s="15" t="s">
        <v>5</v>
      </c>
      <c r="C10" s="15"/>
      <c r="D10" s="9"/>
      <c r="E10" s="9"/>
      <c r="F10" s="9"/>
      <c r="G10" s="9"/>
      <c r="H10" s="9"/>
      <c r="I10" s="9"/>
      <c r="J10" s="9"/>
      <c r="K10" s="9"/>
      <c r="L10" s="9"/>
      <c r="M10" s="9"/>
      <c r="N10" s="6"/>
    </row>
    <row r="11" spans="1:14" ht="15.75">
      <c r="A11" s="7"/>
      <c r="B11" s="15"/>
      <c r="C11" s="15"/>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6" t="s">
        <v>6</v>
      </c>
      <c r="C13" s="16"/>
      <c r="D13" s="17"/>
      <c r="E13" s="17"/>
      <c r="F13" s="17"/>
      <c r="G13" s="17"/>
      <c r="H13" s="17"/>
      <c r="I13" s="17"/>
      <c r="J13" s="17"/>
      <c r="K13" s="17"/>
      <c r="L13" s="18" t="s">
        <v>186</v>
      </c>
      <c r="M13" s="9"/>
      <c r="N13" s="6"/>
    </row>
    <row r="14" spans="1:14" ht="15.75">
      <c r="A14" s="7"/>
      <c r="B14" s="16" t="s">
        <v>7</v>
      </c>
      <c r="C14" s="16"/>
      <c r="D14" s="19" t="s">
        <v>140</v>
      </c>
      <c r="E14" s="20">
        <v>0.348</v>
      </c>
      <c r="F14" s="19" t="s">
        <v>150</v>
      </c>
      <c r="G14" s="20">
        <v>0.229</v>
      </c>
      <c r="H14" s="19" t="s">
        <v>156</v>
      </c>
      <c r="I14" s="20">
        <v>0.098</v>
      </c>
      <c r="J14" s="19" t="s">
        <v>165</v>
      </c>
      <c r="K14" s="20">
        <v>0.1</v>
      </c>
      <c r="L14" s="18"/>
      <c r="M14" s="17"/>
      <c r="N14" s="6"/>
    </row>
    <row r="15" spans="1:14" ht="15.75">
      <c r="A15" s="7"/>
      <c r="B15" s="16" t="s">
        <v>8</v>
      </c>
      <c r="C15" s="16"/>
      <c r="D15" s="19" t="s">
        <v>140</v>
      </c>
      <c r="E15" s="20">
        <f>E177/(J195+$L$93)</f>
        <v>0.16585769159259303</v>
      </c>
      <c r="F15" s="19" t="s">
        <v>150</v>
      </c>
      <c r="G15" s="20">
        <f>J177/(J195+$L$93)</f>
        <v>0.08249567821384633</v>
      </c>
      <c r="H15" s="19" t="s">
        <v>156</v>
      </c>
      <c r="I15" s="20">
        <f>E187/(J195+$L$93)</f>
        <v>0.3560953997207157</v>
      </c>
      <c r="J15" s="19" t="s">
        <v>165</v>
      </c>
      <c r="K15" s="20">
        <f>J187/(J195+$L$93)</f>
        <v>0.2118169698839744</v>
      </c>
      <c r="L15" s="18"/>
      <c r="M15" s="17"/>
      <c r="N15" s="6"/>
    </row>
    <row r="16" spans="1:14" ht="15.75">
      <c r="A16" s="7"/>
      <c r="B16" s="16" t="s">
        <v>9</v>
      </c>
      <c r="C16" s="16"/>
      <c r="D16" s="17"/>
      <c r="E16" s="17"/>
      <c r="F16" s="17"/>
      <c r="G16" s="17"/>
      <c r="H16" s="17"/>
      <c r="I16" s="17"/>
      <c r="J16" s="17"/>
      <c r="K16" s="17"/>
      <c r="L16" s="178">
        <v>37070</v>
      </c>
      <c r="M16" s="9"/>
      <c r="N16" s="6"/>
    </row>
    <row r="17" spans="1:14" ht="15.75">
      <c r="A17" s="7"/>
      <c r="B17" s="16" t="s">
        <v>10</v>
      </c>
      <c r="C17" s="16"/>
      <c r="D17" s="17"/>
      <c r="E17" s="17"/>
      <c r="F17" s="17"/>
      <c r="G17" s="17"/>
      <c r="H17" s="17"/>
      <c r="I17" s="17"/>
      <c r="J17" s="17"/>
      <c r="K17" s="17"/>
      <c r="L17" s="21">
        <v>37971</v>
      </c>
      <c r="M17" s="9"/>
      <c r="N17" s="6"/>
    </row>
    <row r="18" spans="1:14" ht="15.75">
      <c r="A18" s="7"/>
      <c r="B18" s="9"/>
      <c r="C18" s="9"/>
      <c r="D18" s="9"/>
      <c r="E18" s="9"/>
      <c r="F18" s="9"/>
      <c r="G18" s="9"/>
      <c r="H18" s="9"/>
      <c r="I18" s="9"/>
      <c r="J18" s="9"/>
      <c r="K18" s="9"/>
      <c r="L18" s="22"/>
      <c r="M18" s="9"/>
      <c r="N18" s="6"/>
    </row>
    <row r="19" spans="1:14" ht="15.75">
      <c r="A19" s="7"/>
      <c r="B19" s="23" t="s">
        <v>11</v>
      </c>
      <c r="C19" s="9"/>
      <c r="D19" s="9"/>
      <c r="E19" s="9"/>
      <c r="F19" s="9"/>
      <c r="G19" s="9"/>
      <c r="H19" s="9"/>
      <c r="I19" s="9"/>
      <c r="J19" s="22"/>
      <c r="K19" s="9"/>
      <c r="L19" s="14"/>
      <c r="M19" s="9"/>
      <c r="N19" s="6"/>
    </row>
    <row r="20" spans="1:14" ht="15.75">
      <c r="A20" s="7"/>
      <c r="B20" s="9"/>
      <c r="C20" s="9"/>
      <c r="D20" s="9"/>
      <c r="E20" s="9"/>
      <c r="F20" s="9"/>
      <c r="G20" s="9"/>
      <c r="H20" s="9"/>
      <c r="I20" s="9"/>
      <c r="J20" s="9"/>
      <c r="K20" s="9"/>
      <c r="L20" s="24"/>
      <c r="M20" s="9"/>
      <c r="N20" s="6"/>
    </row>
    <row r="21" spans="1:14" ht="15.75">
      <c r="A21" s="7"/>
      <c r="B21" s="9"/>
      <c r="C21" s="159" t="s">
        <v>137</v>
      </c>
      <c r="D21" s="161" t="s">
        <v>142</v>
      </c>
      <c r="E21" s="161"/>
      <c r="F21" s="161" t="s">
        <v>158</v>
      </c>
      <c r="G21" s="161"/>
      <c r="H21" s="161" t="s">
        <v>169</v>
      </c>
      <c r="I21" s="26"/>
      <c r="J21" s="27"/>
      <c r="K21" s="14"/>
      <c r="L21" s="14"/>
      <c r="M21" s="9"/>
      <c r="N21" s="6"/>
    </row>
    <row r="22" spans="1:14" ht="15.75">
      <c r="A22" s="28"/>
      <c r="B22" s="29" t="s">
        <v>12</v>
      </c>
      <c r="C22" s="160" t="s">
        <v>138</v>
      </c>
      <c r="D22" s="31" t="s">
        <v>143</v>
      </c>
      <c r="E22" s="31"/>
      <c r="F22" s="31" t="s">
        <v>159</v>
      </c>
      <c r="G22" s="31"/>
      <c r="H22" s="31" t="s">
        <v>170</v>
      </c>
      <c r="I22" s="31"/>
      <c r="J22" s="31"/>
      <c r="K22" s="32"/>
      <c r="L22" s="32"/>
      <c r="M22" s="29"/>
      <c r="N22" s="6"/>
    </row>
    <row r="23" spans="1:14" ht="15.75">
      <c r="A23" s="28"/>
      <c r="B23" s="29" t="s">
        <v>13</v>
      </c>
      <c r="C23" s="30"/>
      <c r="D23" s="31" t="s">
        <v>144</v>
      </c>
      <c r="E23" s="31"/>
      <c r="F23" s="31" t="s">
        <v>160</v>
      </c>
      <c r="G23" s="31"/>
      <c r="H23" s="31" t="s">
        <v>171</v>
      </c>
      <c r="I23" s="31"/>
      <c r="J23" s="31"/>
      <c r="K23" s="32"/>
      <c r="L23" s="32"/>
      <c r="M23" s="29"/>
      <c r="N23" s="6"/>
    </row>
    <row r="24" spans="1:14" ht="15.75">
      <c r="A24" s="28"/>
      <c r="B24" s="33" t="s">
        <v>14</v>
      </c>
      <c r="C24" s="33"/>
      <c r="D24" s="34" t="s">
        <v>143</v>
      </c>
      <c r="E24" s="34"/>
      <c r="F24" s="34" t="s">
        <v>159</v>
      </c>
      <c r="G24" s="34"/>
      <c r="H24" s="34" t="s">
        <v>170</v>
      </c>
      <c r="I24" s="34"/>
      <c r="J24" s="34"/>
      <c r="K24" s="35"/>
      <c r="L24" s="32"/>
      <c r="M24" s="29"/>
      <c r="N24" s="6"/>
    </row>
    <row r="25" spans="1:14" ht="15.75">
      <c r="A25" s="28"/>
      <c r="B25" s="33" t="s">
        <v>15</v>
      </c>
      <c r="C25" s="33"/>
      <c r="D25" s="34" t="s">
        <v>144</v>
      </c>
      <c r="E25" s="34"/>
      <c r="F25" s="34" t="s">
        <v>160</v>
      </c>
      <c r="G25" s="34"/>
      <c r="H25" s="34" t="s">
        <v>171</v>
      </c>
      <c r="I25" s="34"/>
      <c r="J25" s="34"/>
      <c r="K25" s="35"/>
      <c r="L25" s="32"/>
      <c r="M25" s="29"/>
      <c r="N25" s="6"/>
    </row>
    <row r="26" spans="1:14" ht="15.75">
      <c r="A26" s="28"/>
      <c r="B26" s="29" t="s">
        <v>16</v>
      </c>
      <c r="C26" s="29"/>
      <c r="D26" s="36" t="s">
        <v>145</v>
      </c>
      <c r="E26" s="31"/>
      <c r="F26" s="36" t="s">
        <v>161</v>
      </c>
      <c r="G26" s="31"/>
      <c r="H26" s="36" t="s">
        <v>172</v>
      </c>
      <c r="I26" s="31"/>
      <c r="J26" s="36"/>
      <c r="K26" s="32"/>
      <c r="L26" s="32"/>
      <c r="M26" s="29"/>
      <c r="N26" s="6"/>
    </row>
    <row r="27" spans="1:14" ht="15.75">
      <c r="A27" s="28"/>
      <c r="B27" s="29"/>
      <c r="C27" s="29"/>
      <c r="D27" s="29"/>
      <c r="E27" s="31"/>
      <c r="F27" s="31"/>
      <c r="G27" s="31"/>
      <c r="H27" s="31"/>
      <c r="I27" s="31"/>
      <c r="J27" s="31"/>
      <c r="K27" s="32"/>
      <c r="L27" s="32"/>
      <c r="M27" s="29"/>
      <c r="N27" s="6"/>
    </row>
    <row r="28" spans="1:14" ht="15.75">
      <c r="A28" s="28"/>
      <c r="B28" s="29" t="s">
        <v>17</v>
      </c>
      <c r="C28" s="29"/>
      <c r="D28" s="37">
        <v>178210</v>
      </c>
      <c r="E28" s="38"/>
      <c r="F28" s="37">
        <v>51450</v>
      </c>
      <c r="G28" s="37"/>
      <c r="H28" s="37">
        <v>21340</v>
      </c>
      <c r="I28" s="37"/>
      <c r="J28" s="37"/>
      <c r="K28" s="39"/>
      <c r="L28" s="37">
        <f>J28+H28+F28+D28</f>
        <v>251000</v>
      </c>
      <c r="M28" s="40"/>
      <c r="N28" s="6"/>
    </row>
    <row r="29" spans="1:14" ht="15.75">
      <c r="A29" s="28"/>
      <c r="B29" s="29" t="s">
        <v>18</v>
      </c>
      <c r="C29" s="44">
        <v>1</v>
      </c>
      <c r="D29" s="37">
        <v>178210</v>
      </c>
      <c r="E29" s="38"/>
      <c r="F29" s="37">
        <v>51450</v>
      </c>
      <c r="G29" s="37"/>
      <c r="H29" s="37">
        <v>21340</v>
      </c>
      <c r="I29" s="42"/>
      <c r="J29" s="37"/>
      <c r="K29" s="39"/>
      <c r="L29" s="37">
        <f>J29+H29+F29+D29</f>
        <v>251000</v>
      </c>
      <c r="M29" s="40"/>
      <c r="N29" s="6"/>
    </row>
    <row r="30" spans="1:14" ht="15.75">
      <c r="A30" s="43"/>
      <c r="B30" s="33" t="s">
        <v>19</v>
      </c>
      <c r="C30" s="44">
        <v>1</v>
      </c>
      <c r="D30" s="45">
        <v>178210</v>
      </c>
      <c r="E30" s="46"/>
      <c r="F30" s="45">
        <v>51450</v>
      </c>
      <c r="G30" s="45"/>
      <c r="H30" s="45">
        <v>21340</v>
      </c>
      <c r="I30" s="45"/>
      <c r="J30" s="45"/>
      <c r="K30" s="47"/>
      <c r="L30" s="45">
        <f>J30+H30+F30+D30</f>
        <v>251000</v>
      </c>
      <c r="M30" s="29"/>
      <c r="N30" s="6"/>
    </row>
    <row r="31" spans="1:14" ht="15.75">
      <c r="A31" s="28"/>
      <c r="B31" s="29" t="s">
        <v>20</v>
      </c>
      <c r="C31" s="155"/>
      <c r="D31" s="36" t="s">
        <v>146</v>
      </c>
      <c r="E31" s="29"/>
      <c r="F31" s="36" t="s">
        <v>162</v>
      </c>
      <c r="G31" s="36"/>
      <c r="H31" s="36" t="s">
        <v>173</v>
      </c>
      <c r="I31" s="36"/>
      <c r="J31" s="36"/>
      <c r="K31" s="32"/>
      <c r="L31" s="32"/>
      <c r="M31" s="29"/>
      <c r="N31" s="6"/>
    </row>
    <row r="32" spans="1:14" ht="15.75">
      <c r="A32" s="28"/>
      <c r="B32" s="29" t="s">
        <v>21</v>
      </c>
      <c r="C32" s="155"/>
      <c r="D32" s="49">
        <v>0.0397906</v>
      </c>
      <c r="E32" s="50"/>
      <c r="F32" s="49">
        <v>0.0453906</v>
      </c>
      <c r="G32" s="49"/>
      <c r="H32" s="49">
        <v>0.0593906</v>
      </c>
      <c r="I32" s="51"/>
      <c r="J32" s="49"/>
      <c r="K32" s="32"/>
      <c r="L32" s="51">
        <f>SUMPRODUCT(D32:J32,D30:J30)/L30</f>
        <v>0.042604878884462155</v>
      </c>
      <c r="M32" s="29"/>
      <c r="N32" s="6"/>
    </row>
    <row r="33" spans="1:14" ht="15.75">
      <c r="A33" s="28"/>
      <c r="B33" s="29" t="s">
        <v>22</v>
      </c>
      <c r="C33" s="155"/>
      <c r="D33" s="49">
        <v>0.0392625</v>
      </c>
      <c r="E33" s="50"/>
      <c r="F33" s="49">
        <v>0.0448625</v>
      </c>
      <c r="G33" s="49"/>
      <c r="H33" s="49">
        <v>0.0588625</v>
      </c>
      <c r="I33" s="51"/>
      <c r="J33" s="49"/>
      <c r="K33" s="32"/>
      <c r="L33" s="32"/>
      <c r="M33" s="29"/>
      <c r="N33" s="6"/>
    </row>
    <row r="34" spans="1:14" ht="15.75">
      <c r="A34" s="28"/>
      <c r="B34" s="29" t="s">
        <v>23</v>
      </c>
      <c r="C34" s="155"/>
      <c r="D34" s="36" t="s">
        <v>147</v>
      </c>
      <c r="E34" s="29"/>
      <c r="F34" s="36" t="s">
        <v>147</v>
      </c>
      <c r="G34" s="36"/>
      <c r="H34" s="36" t="s">
        <v>147</v>
      </c>
      <c r="I34" s="36"/>
      <c r="J34" s="36"/>
      <c r="K34" s="32"/>
      <c r="L34" s="32"/>
      <c r="M34" s="29"/>
      <c r="N34" s="6"/>
    </row>
    <row r="35" spans="1:14" ht="15.75">
      <c r="A35" s="28"/>
      <c r="B35" s="29" t="s">
        <v>24</v>
      </c>
      <c r="C35" s="29"/>
      <c r="D35" s="52">
        <v>39248</v>
      </c>
      <c r="E35" s="29"/>
      <c r="F35" s="52">
        <v>39248</v>
      </c>
      <c r="G35" s="52"/>
      <c r="H35" s="52">
        <v>39248</v>
      </c>
      <c r="I35" s="36"/>
      <c r="J35" s="36"/>
      <c r="K35" s="32"/>
      <c r="L35" s="32"/>
      <c r="M35" s="29"/>
      <c r="N35" s="6"/>
    </row>
    <row r="36" spans="1:14" ht="15.75">
      <c r="A36" s="28"/>
      <c r="B36" s="29" t="s">
        <v>25</v>
      </c>
      <c r="C36" s="29"/>
      <c r="D36" s="36" t="s">
        <v>148</v>
      </c>
      <c r="E36" s="29"/>
      <c r="F36" s="36" t="s">
        <v>163</v>
      </c>
      <c r="G36" s="36"/>
      <c r="H36" s="36" t="s">
        <v>174</v>
      </c>
      <c r="I36" s="36"/>
      <c r="J36" s="36"/>
      <c r="K36" s="32"/>
      <c r="L36" s="32"/>
      <c r="M36" s="29"/>
      <c r="N36" s="6"/>
    </row>
    <row r="37" spans="1:14" ht="15.75">
      <c r="A37" s="28"/>
      <c r="B37" s="29"/>
      <c r="C37" s="29"/>
      <c r="D37" s="53"/>
      <c r="E37" s="53"/>
      <c r="F37" s="50"/>
      <c r="G37" s="53"/>
      <c r="H37" s="142"/>
      <c r="I37" s="53"/>
      <c r="J37" s="53"/>
      <c r="K37" s="53"/>
      <c r="L37" s="53"/>
      <c r="M37" s="29"/>
      <c r="N37" s="6"/>
    </row>
    <row r="38" spans="1:14" ht="15.75">
      <c r="A38" s="28"/>
      <c r="B38" s="29" t="s">
        <v>26</v>
      </c>
      <c r="C38" s="29"/>
      <c r="D38" s="29"/>
      <c r="E38" s="29"/>
      <c r="F38" s="50"/>
      <c r="G38" s="29"/>
      <c r="H38" s="50"/>
      <c r="I38" s="29"/>
      <c r="J38" s="29"/>
      <c r="K38" s="29"/>
      <c r="L38" s="51">
        <f>(H28+F28)/(D28)</f>
        <v>0.4084507042253521</v>
      </c>
      <c r="M38" s="29"/>
      <c r="N38" s="6"/>
    </row>
    <row r="39" spans="1:14" ht="15.75">
      <c r="A39" s="28"/>
      <c r="B39" s="29" t="s">
        <v>27</v>
      </c>
      <c r="C39" s="29"/>
      <c r="D39" s="50"/>
      <c r="E39" s="29"/>
      <c r="F39" s="50"/>
      <c r="G39" s="29"/>
      <c r="H39" s="50"/>
      <c r="I39" s="29"/>
      <c r="J39" s="29"/>
      <c r="K39" s="29"/>
      <c r="L39" s="51">
        <f>(H30+F30)/(D30)</f>
        <v>0.4084507042253521</v>
      </c>
      <c r="M39" s="29"/>
      <c r="N39" s="6"/>
    </row>
    <row r="40" spans="1:14" ht="15.75">
      <c r="A40" s="28"/>
      <c r="B40" s="29" t="s">
        <v>28</v>
      </c>
      <c r="C40" s="29"/>
      <c r="D40" s="29"/>
      <c r="E40" s="29"/>
      <c r="F40" s="50"/>
      <c r="G40" s="29"/>
      <c r="H40" s="50"/>
      <c r="I40" s="29"/>
      <c r="J40" s="36" t="s">
        <v>142</v>
      </c>
      <c r="K40" s="36" t="s">
        <v>185</v>
      </c>
      <c r="L40" s="37">
        <v>38766</v>
      </c>
      <c r="M40" s="29"/>
      <c r="N40" s="6"/>
    </row>
    <row r="41" spans="1:14" ht="15.75">
      <c r="A41" s="28"/>
      <c r="B41" s="29"/>
      <c r="C41" s="29"/>
      <c r="D41" s="50"/>
      <c r="E41" s="29"/>
      <c r="F41" s="50"/>
      <c r="G41" s="29"/>
      <c r="H41" s="29"/>
      <c r="I41" s="29"/>
      <c r="J41" s="29" t="s">
        <v>177</v>
      </c>
      <c r="K41" s="29"/>
      <c r="L41" s="54"/>
      <c r="M41" s="29"/>
      <c r="N41" s="6"/>
    </row>
    <row r="42" spans="1:14" ht="15.75">
      <c r="A42" s="28"/>
      <c r="B42" s="29" t="s">
        <v>29</v>
      </c>
      <c r="C42" s="29"/>
      <c r="D42" s="29"/>
      <c r="E42" s="29"/>
      <c r="F42" s="29"/>
      <c r="G42" s="29"/>
      <c r="H42" s="29"/>
      <c r="I42" s="29"/>
      <c r="J42" s="36"/>
      <c r="K42" s="36"/>
      <c r="L42" s="36" t="s">
        <v>187</v>
      </c>
      <c r="M42" s="29"/>
      <c r="N42" s="6"/>
    </row>
    <row r="43" spans="1:14" ht="15.75">
      <c r="A43" s="43"/>
      <c r="B43" s="33" t="s">
        <v>30</v>
      </c>
      <c r="C43" s="33"/>
      <c r="D43" s="33"/>
      <c r="E43" s="33"/>
      <c r="F43" s="33"/>
      <c r="G43" s="33"/>
      <c r="H43" s="33"/>
      <c r="I43" s="33"/>
      <c r="J43" s="55"/>
      <c r="K43" s="55"/>
      <c r="L43" s="56">
        <v>37970</v>
      </c>
      <c r="M43" s="33"/>
      <c r="N43" s="6"/>
    </row>
    <row r="44" spans="1:14" ht="15.75">
      <c r="A44" s="28"/>
      <c r="B44" s="29" t="s">
        <v>31</v>
      </c>
      <c r="C44" s="29"/>
      <c r="D44" s="29"/>
      <c r="E44" s="29"/>
      <c r="F44" s="29"/>
      <c r="G44" s="29"/>
      <c r="H44" s="32"/>
      <c r="I44" s="29">
        <f>L44-J44+1</f>
        <v>91</v>
      </c>
      <c r="J44" s="58">
        <v>37788</v>
      </c>
      <c r="K44" s="59"/>
      <c r="L44" s="58">
        <v>37878</v>
      </c>
      <c r="M44" s="29"/>
      <c r="N44" s="6"/>
    </row>
    <row r="45" spans="1:14" ht="15.75">
      <c r="A45" s="28"/>
      <c r="B45" s="29" t="s">
        <v>32</v>
      </c>
      <c r="C45" s="29"/>
      <c r="D45" s="29"/>
      <c r="E45" s="29"/>
      <c r="F45" s="29"/>
      <c r="G45" s="29"/>
      <c r="H45" s="32"/>
      <c r="I45" s="29">
        <f>L45-J45+1</f>
        <v>91</v>
      </c>
      <c r="J45" s="58">
        <v>37879</v>
      </c>
      <c r="K45" s="59"/>
      <c r="L45" s="58">
        <v>37969</v>
      </c>
      <c r="M45" s="29"/>
      <c r="N45" s="6"/>
    </row>
    <row r="46" spans="1:14" ht="15.75">
      <c r="A46" s="28"/>
      <c r="B46" s="29" t="s">
        <v>33</v>
      </c>
      <c r="C46" s="29"/>
      <c r="D46" s="29"/>
      <c r="E46" s="29"/>
      <c r="F46" s="29"/>
      <c r="G46" s="29"/>
      <c r="H46" s="29"/>
      <c r="I46" s="29"/>
      <c r="J46" s="58"/>
      <c r="K46" s="59"/>
      <c r="L46" s="58" t="s">
        <v>188</v>
      </c>
      <c r="M46" s="29"/>
      <c r="N46" s="6"/>
    </row>
    <row r="47" spans="1:14" ht="15.75">
      <c r="A47" s="28"/>
      <c r="B47" s="29" t="s">
        <v>34</v>
      </c>
      <c r="C47" s="29"/>
      <c r="D47" s="29"/>
      <c r="E47" s="29"/>
      <c r="F47" s="29"/>
      <c r="G47" s="29"/>
      <c r="H47" s="29"/>
      <c r="I47" s="29"/>
      <c r="J47" s="58"/>
      <c r="K47" s="59"/>
      <c r="L47" s="58">
        <v>37960</v>
      </c>
      <c r="M47" s="29"/>
      <c r="N47" s="6"/>
    </row>
    <row r="48" spans="1:14" ht="15.75">
      <c r="A48" s="28"/>
      <c r="B48" s="29"/>
      <c r="C48" s="29"/>
      <c r="D48" s="29"/>
      <c r="E48" s="29"/>
      <c r="F48" s="29"/>
      <c r="G48" s="29"/>
      <c r="H48" s="29"/>
      <c r="I48" s="29"/>
      <c r="J48" s="29"/>
      <c r="K48" s="29"/>
      <c r="L48" s="60"/>
      <c r="M48" s="29"/>
      <c r="N48" s="6"/>
    </row>
    <row r="49" spans="1:14" ht="15.75">
      <c r="A49" s="7"/>
      <c r="B49" s="9"/>
      <c r="C49" s="9"/>
      <c r="D49" s="9"/>
      <c r="E49" s="9"/>
      <c r="F49" s="9"/>
      <c r="G49" s="9"/>
      <c r="H49" s="9"/>
      <c r="I49" s="9"/>
      <c r="J49" s="9"/>
      <c r="K49" s="9"/>
      <c r="L49" s="61"/>
      <c r="M49" s="9"/>
      <c r="N49" s="6"/>
    </row>
    <row r="50" spans="1:14" ht="16.5" thickBot="1">
      <c r="A50" s="144"/>
      <c r="B50" s="145" t="s">
        <v>200</v>
      </c>
      <c r="C50" s="146"/>
      <c r="D50" s="146"/>
      <c r="E50" s="146"/>
      <c r="F50" s="146"/>
      <c r="G50" s="146"/>
      <c r="H50" s="146"/>
      <c r="I50" s="146"/>
      <c r="J50" s="146"/>
      <c r="K50" s="146"/>
      <c r="L50" s="147"/>
      <c r="M50" s="148"/>
      <c r="N50" s="6"/>
    </row>
    <row r="51" spans="1:14" ht="15.75">
      <c r="A51" s="2"/>
      <c r="B51" s="5"/>
      <c r="C51" s="5"/>
      <c r="D51" s="5"/>
      <c r="E51" s="5"/>
      <c r="F51" s="5"/>
      <c r="G51" s="5"/>
      <c r="H51" s="5"/>
      <c r="I51" s="5"/>
      <c r="J51" s="5"/>
      <c r="K51" s="5"/>
      <c r="L51" s="62"/>
      <c r="M51" s="5"/>
      <c r="N51" s="6"/>
    </row>
    <row r="52" spans="1:14" ht="15.75">
      <c r="A52" s="7"/>
      <c r="B52" s="63" t="s">
        <v>36</v>
      </c>
      <c r="C52" s="15"/>
      <c r="D52" s="9"/>
      <c r="E52" s="9"/>
      <c r="F52" s="9"/>
      <c r="G52" s="9"/>
      <c r="H52" s="9"/>
      <c r="I52" s="9"/>
      <c r="J52" s="9"/>
      <c r="K52" s="9"/>
      <c r="L52" s="64"/>
      <c r="M52" s="9"/>
      <c r="N52" s="6"/>
    </row>
    <row r="53" spans="1:14" ht="15.75">
      <c r="A53" s="7"/>
      <c r="B53" s="15"/>
      <c r="C53" s="15"/>
      <c r="D53" s="9"/>
      <c r="E53" s="9"/>
      <c r="F53" s="9"/>
      <c r="G53" s="9"/>
      <c r="H53" s="9"/>
      <c r="I53" s="9"/>
      <c r="J53" s="9"/>
      <c r="K53" s="9"/>
      <c r="L53" s="64"/>
      <c r="M53" s="9"/>
      <c r="N53" s="6"/>
    </row>
    <row r="54" spans="1:14" ht="47.25">
      <c r="A54" s="7"/>
      <c r="B54" s="65"/>
      <c r="C54" s="162" t="s">
        <v>139</v>
      </c>
      <c r="D54" s="162" t="s">
        <v>149</v>
      </c>
      <c r="E54" s="162"/>
      <c r="F54" s="162" t="s">
        <v>164</v>
      </c>
      <c r="G54" s="162"/>
      <c r="H54" s="162" t="s">
        <v>175</v>
      </c>
      <c r="I54" s="162"/>
      <c r="J54" s="162" t="s">
        <v>178</v>
      </c>
      <c r="K54" s="162"/>
      <c r="L54" s="163" t="s">
        <v>189</v>
      </c>
      <c r="M54" s="158"/>
      <c r="N54" s="6"/>
    </row>
    <row r="55" spans="1:14" ht="15.75">
      <c r="A55" s="28"/>
      <c r="B55" s="29" t="s">
        <v>37</v>
      </c>
      <c r="C55" s="66">
        <f>81776+9633</f>
        <v>91409</v>
      </c>
      <c r="D55" s="66">
        <v>70007</v>
      </c>
      <c r="E55" s="66"/>
      <c r="F55" s="66">
        <f>3007+2905+131+23+46+3+2</f>
        <v>6117</v>
      </c>
      <c r="G55" s="66"/>
      <c r="H55" s="66">
        <v>243</v>
      </c>
      <c r="I55" s="66"/>
      <c r="J55" s="66">
        <v>0</v>
      </c>
      <c r="K55" s="66"/>
      <c r="L55" s="67">
        <f>D55-F55+H55-J55</f>
        <v>64133</v>
      </c>
      <c r="M55" s="29"/>
      <c r="N55" s="6"/>
    </row>
    <row r="56" spans="1:14" ht="15.75">
      <c r="A56" s="28"/>
      <c r="B56" s="29" t="s">
        <v>38</v>
      </c>
      <c r="C56" s="66">
        <v>1</v>
      </c>
      <c r="D56" s="66">
        <v>0</v>
      </c>
      <c r="E56" s="66"/>
      <c r="F56" s="66"/>
      <c r="G56" s="66"/>
      <c r="H56" s="66">
        <v>0</v>
      </c>
      <c r="I56" s="66"/>
      <c r="J56" s="66">
        <v>0</v>
      </c>
      <c r="K56" s="66"/>
      <c r="L56" s="67">
        <f>D56-F56</f>
        <v>0</v>
      </c>
      <c r="M56" s="29"/>
      <c r="N56" s="6"/>
    </row>
    <row r="57" spans="1:14" ht="15.75">
      <c r="A57" s="28"/>
      <c r="B57" s="29"/>
      <c r="C57" s="66"/>
      <c r="D57" s="66"/>
      <c r="E57" s="66"/>
      <c r="F57" s="66"/>
      <c r="G57" s="66"/>
      <c r="H57" s="66"/>
      <c r="I57" s="66"/>
      <c r="J57" s="66"/>
      <c r="K57" s="66"/>
      <c r="L57" s="67"/>
      <c r="M57" s="29"/>
      <c r="N57" s="6"/>
    </row>
    <row r="58" spans="1:14" ht="15.75">
      <c r="A58" s="28"/>
      <c r="B58" s="29" t="s">
        <v>39</v>
      </c>
      <c r="C58" s="66">
        <f>59449+801</f>
        <v>60250</v>
      </c>
      <c r="D58" s="66">
        <v>26065</v>
      </c>
      <c r="E58" s="66"/>
      <c r="F58" s="66">
        <f>8277</f>
        <v>8277</v>
      </c>
      <c r="G58" s="66"/>
      <c r="H58" s="66">
        <v>6441</v>
      </c>
      <c r="I58" s="66"/>
      <c r="J58" s="66">
        <f>SUM(J55:J57)</f>
        <v>0</v>
      </c>
      <c r="K58" s="66"/>
      <c r="L58" s="67">
        <f>D58-F58+H58-J58</f>
        <v>24229</v>
      </c>
      <c r="M58" s="29"/>
      <c r="N58" s="6"/>
    </row>
    <row r="59" spans="1:14" ht="15.75">
      <c r="A59" s="28"/>
      <c r="B59" s="29" t="s">
        <v>38</v>
      </c>
      <c r="C59" s="66">
        <v>136</v>
      </c>
      <c r="D59" s="66"/>
      <c r="E59" s="66"/>
      <c r="F59" s="66"/>
      <c r="G59" s="66"/>
      <c r="H59" s="66">
        <v>0</v>
      </c>
      <c r="I59" s="66"/>
      <c r="J59" s="66">
        <v>0</v>
      </c>
      <c r="K59" s="66"/>
      <c r="L59" s="68"/>
      <c r="M59" s="29"/>
      <c r="N59" s="6"/>
    </row>
    <row r="60" spans="1:14" ht="15.75">
      <c r="A60" s="28"/>
      <c r="B60" s="69"/>
      <c r="C60" s="66"/>
      <c r="D60" s="66"/>
      <c r="E60" s="66"/>
      <c r="F60" s="70"/>
      <c r="G60" s="66"/>
      <c r="H60" s="66"/>
      <c r="I60" s="66"/>
      <c r="J60" s="66"/>
      <c r="K60" s="66"/>
      <c r="L60" s="68"/>
      <c r="M60" s="29"/>
      <c r="N60" s="6"/>
    </row>
    <row r="61" spans="1:14" ht="15.75">
      <c r="A61" s="28"/>
      <c r="B61" s="29" t="s">
        <v>40</v>
      </c>
      <c r="C61" s="66">
        <v>25730</v>
      </c>
      <c r="D61" s="66">
        <v>65109</v>
      </c>
      <c r="E61" s="66"/>
      <c r="F61" s="66">
        <f>13373+2+40</f>
        <v>13415</v>
      </c>
      <c r="G61" s="66"/>
      <c r="H61" s="66">
        <f>38250+60+22</f>
        <v>38332</v>
      </c>
      <c r="I61" s="66"/>
      <c r="J61" s="66">
        <v>0</v>
      </c>
      <c r="K61" s="66"/>
      <c r="L61" s="67">
        <f>D61-F61+H61-J61</f>
        <v>90026</v>
      </c>
      <c r="M61" s="29"/>
      <c r="N61" s="6"/>
    </row>
    <row r="62" spans="1:14" ht="15.75">
      <c r="A62" s="28"/>
      <c r="B62" s="29" t="s">
        <v>38</v>
      </c>
      <c r="C62" s="66">
        <v>260</v>
      </c>
      <c r="D62" s="67">
        <v>0</v>
      </c>
      <c r="E62" s="66"/>
      <c r="F62" s="66"/>
      <c r="G62" s="66"/>
      <c r="H62" s="66">
        <v>0</v>
      </c>
      <c r="I62" s="66"/>
      <c r="J62" s="66">
        <v>0</v>
      </c>
      <c r="K62" s="66"/>
      <c r="L62" s="67">
        <f>D62-F62+H62-J62</f>
        <v>0</v>
      </c>
      <c r="M62" s="29"/>
      <c r="N62" s="6"/>
    </row>
    <row r="63" spans="1:14" ht="15.75">
      <c r="A63" s="28"/>
      <c r="B63" s="29"/>
      <c r="C63" s="66"/>
      <c r="D63" s="67"/>
      <c r="E63" s="66"/>
      <c r="F63" s="66"/>
      <c r="G63" s="66"/>
      <c r="H63" s="66"/>
      <c r="I63" s="66"/>
      <c r="J63" s="66"/>
      <c r="K63" s="66"/>
      <c r="L63" s="67"/>
      <c r="M63" s="29"/>
      <c r="N63" s="6"/>
    </row>
    <row r="64" spans="1:14" ht="15.75">
      <c r="A64" s="28"/>
      <c r="B64" s="29" t="s">
        <v>41</v>
      </c>
      <c r="C64" s="66">
        <v>26410</v>
      </c>
      <c r="D64" s="67">
        <v>55925</v>
      </c>
      <c r="E64" s="66"/>
      <c r="F64" s="66">
        <f>9416+215+95</f>
        <v>9726</v>
      </c>
      <c r="G64" s="66"/>
      <c r="H64" s="66">
        <v>7499</v>
      </c>
      <c r="I64" s="66"/>
      <c r="J64" s="66">
        <v>0</v>
      </c>
      <c r="K64" s="66"/>
      <c r="L64" s="67">
        <f>D64-F64+H64-J64</f>
        <v>53698</v>
      </c>
      <c r="M64" s="29"/>
      <c r="N64" s="6"/>
    </row>
    <row r="65" spans="1:14" ht="15.75">
      <c r="A65" s="28"/>
      <c r="B65" s="29" t="s">
        <v>38</v>
      </c>
      <c r="C65" s="66">
        <v>229</v>
      </c>
      <c r="D65" s="67"/>
      <c r="E65" s="66"/>
      <c r="F65" s="66"/>
      <c r="G65" s="66"/>
      <c r="H65" s="66">
        <v>0</v>
      </c>
      <c r="I65" s="66"/>
      <c r="J65" s="66">
        <v>0</v>
      </c>
      <c r="K65" s="66"/>
      <c r="L65" s="67"/>
      <c r="M65" s="29"/>
      <c r="N65" s="6"/>
    </row>
    <row r="66" spans="1:14" ht="15.75">
      <c r="A66" s="28"/>
      <c r="B66" s="66"/>
      <c r="C66" s="66"/>
      <c r="D66" s="67"/>
      <c r="E66" s="66"/>
      <c r="F66" s="66"/>
      <c r="G66" s="66"/>
      <c r="H66" s="66"/>
      <c r="I66" s="66"/>
      <c r="J66" s="66"/>
      <c r="K66" s="66"/>
      <c r="L66" s="67"/>
      <c r="M66" s="29"/>
      <c r="N66" s="6"/>
    </row>
    <row r="67" spans="1:14" ht="15.75">
      <c r="A67" s="28"/>
      <c r="B67" s="29" t="s">
        <v>42</v>
      </c>
      <c r="C67" s="66">
        <f>SUM(C55:C65)</f>
        <v>204425</v>
      </c>
      <c r="D67" s="66">
        <f>SUM(D55:D64)</f>
        <v>217106</v>
      </c>
      <c r="E67" s="66"/>
      <c r="F67" s="66">
        <f>SUM(F55:F65)</f>
        <v>37535</v>
      </c>
      <c r="G67" s="66"/>
      <c r="H67" s="66">
        <f>SUM(H55:H65)</f>
        <v>52515</v>
      </c>
      <c r="I67" s="66"/>
      <c r="J67" s="66">
        <f>SUM(J62:J66)</f>
        <v>0</v>
      </c>
      <c r="K67" s="66"/>
      <c r="L67" s="66">
        <f>SUM(L55:L66)</f>
        <v>232086</v>
      </c>
      <c r="M67" s="29"/>
      <c r="N67" s="6"/>
    </row>
    <row r="68" spans="1:14" ht="15.75">
      <c r="A68" s="28"/>
      <c r="B68" s="29"/>
      <c r="C68" s="66"/>
      <c r="D68" s="68"/>
      <c r="E68" s="66"/>
      <c r="F68" s="66"/>
      <c r="G68" s="66"/>
      <c r="H68" s="66"/>
      <c r="I68" s="66"/>
      <c r="J68" s="66"/>
      <c r="K68" s="66"/>
      <c r="L68" s="68"/>
      <c r="M68" s="29"/>
      <c r="N68" s="6"/>
    </row>
    <row r="69" spans="1:14" ht="15.75">
      <c r="A69" s="28"/>
      <c r="B69" s="29" t="s">
        <v>43</v>
      </c>
      <c r="C69" s="66">
        <f>-1789-10434</f>
        <v>-12223</v>
      </c>
      <c r="D69" s="66">
        <v>-26841</v>
      </c>
      <c r="E69" s="66"/>
      <c r="F69" s="66">
        <v>687</v>
      </c>
      <c r="G69" s="66"/>
      <c r="H69" s="66"/>
      <c r="I69" s="66"/>
      <c r="J69" s="66"/>
      <c r="K69" s="66"/>
      <c r="L69" s="66">
        <f>D69-F69</f>
        <v>-27528</v>
      </c>
      <c r="M69" s="29"/>
      <c r="N69" s="6"/>
    </row>
    <row r="70" spans="1:15" ht="15.75">
      <c r="A70" s="28"/>
      <c r="B70" s="29" t="s">
        <v>44</v>
      </c>
      <c r="C70" s="66">
        <v>58798</v>
      </c>
      <c r="D70" s="68">
        <v>60735</v>
      </c>
      <c r="E70" s="66"/>
      <c r="F70" s="66">
        <f>SUM(F67:F69)</f>
        <v>38222</v>
      </c>
      <c r="G70" s="66"/>
      <c r="H70" s="66">
        <f>-H67</f>
        <v>-52515</v>
      </c>
      <c r="I70" s="66"/>
      <c r="J70" s="66"/>
      <c r="K70" s="66"/>
      <c r="L70" s="68">
        <f>D70+F70+H70+D73</f>
        <v>46442</v>
      </c>
      <c r="M70" s="29"/>
      <c r="N70" s="6"/>
      <c r="O70" s="72"/>
    </row>
    <row r="71" spans="1:14" ht="15.75">
      <c r="A71" s="28"/>
      <c r="B71" s="29" t="s">
        <v>45</v>
      </c>
      <c r="C71" s="66">
        <v>0</v>
      </c>
      <c r="D71" s="68">
        <v>0</v>
      </c>
      <c r="E71" s="66"/>
      <c r="F71" s="66"/>
      <c r="G71" s="66"/>
      <c r="H71" s="66">
        <v>0</v>
      </c>
      <c r="I71" s="66"/>
      <c r="J71" s="66"/>
      <c r="K71" s="66"/>
      <c r="L71" s="68">
        <f>H71+D71</f>
        <v>0</v>
      </c>
      <c r="M71" s="29"/>
      <c r="N71" s="6"/>
    </row>
    <row r="72" spans="1:14" ht="15.75">
      <c r="A72" s="28"/>
      <c r="B72" s="29" t="s">
        <v>46</v>
      </c>
      <c r="C72" s="66">
        <v>0</v>
      </c>
      <c r="D72" s="68">
        <v>0</v>
      </c>
      <c r="E72" s="66"/>
      <c r="F72" s="66">
        <v>0</v>
      </c>
      <c r="G72" s="66"/>
      <c r="H72" s="66"/>
      <c r="I72" s="66"/>
      <c r="J72" s="66"/>
      <c r="K72" s="66"/>
      <c r="L72" s="68">
        <f>D72+F72+H72</f>
        <v>0</v>
      </c>
      <c r="M72" s="29"/>
      <c r="N72" s="6"/>
    </row>
    <row r="73" spans="1:14" ht="15.75">
      <c r="A73" s="28"/>
      <c r="B73" s="29" t="s">
        <v>47</v>
      </c>
      <c r="C73" s="66">
        <v>0</v>
      </c>
      <c r="D73" s="68">
        <v>0</v>
      </c>
      <c r="E73" s="66"/>
      <c r="F73" s="66"/>
      <c r="G73" s="66"/>
      <c r="H73" s="156"/>
      <c r="I73" s="66"/>
      <c r="J73" s="66"/>
      <c r="K73" s="66"/>
      <c r="L73" s="68">
        <v>0</v>
      </c>
      <c r="M73" s="29"/>
      <c r="N73" s="6"/>
    </row>
    <row r="74" spans="1:14" ht="15.75">
      <c r="A74" s="28"/>
      <c r="B74" s="29" t="s">
        <v>19</v>
      </c>
      <c r="C74" s="68">
        <f>SUM(C67:C73)</f>
        <v>251000</v>
      </c>
      <c r="D74" s="68">
        <f>SUM(D67:D73)</f>
        <v>251000</v>
      </c>
      <c r="E74" s="66"/>
      <c r="F74" s="66">
        <f>F70-F73-F72</f>
        <v>38222</v>
      </c>
      <c r="G74" s="66"/>
      <c r="H74" s="66"/>
      <c r="I74" s="66"/>
      <c r="J74" s="66"/>
      <c r="K74" s="66"/>
      <c r="L74" s="68">
        <f>SUM(L67:L73)</f>
        <v>251000</v>
      </c>
      <c r="M74" s="29"/>
      <c r="N74" s="6"/>
    </row>
    <row r="75" spans="1:14" ht="15.75">
      <c r="A75" s="28"/>
      <c r="B75" s="66"/>
      <c r="C75" s="29"/>
      <c r="D75" s="29"/>
      <c r="E75" s="29"/>
      <c r="F75" s="29"/>
      <c r="G75" s="29"/>
      <c r="H75" s="29"/>
      <c r="I75" s="29"/>
      <c r="J75" s="36"/>
      <c r="K75" s="29"/>
      <c r="L75" s="36"/>
      <c r="M75" s="29"/>
      <c r="N75" s="6"/>
    </row>
    <row r="76" spans="1:14" ht="15.75">
      <c r="A76" s="7"/>
      <c r="B76" s="63" t="s">
        <v>48</v>
      </c>
      <c r="C76" s="16"/>
      <c r="D76" s="16"/>
      <c r="E76" s="16"/>
      <c r="F76" s="16"/>
      <c r="G76" s="16"/>
      <c r="H76" s="16"/>
      <c r="I76" s="19"/>
      <c r="J76" s="19"/>
      <c r="K76" s="19"/>
      <c r="L76" s="19" t="s">
        <v>190</v>
      </c>
      <c r="M76" s="16"/>
      <c r="N76" s="6"/>
    </row>
    <row r="77" spans="1:14" ht="15.75">
      <c r="A77" s="28"/>
      <c r="B77" s="29" t="s">
        <v>49</v>
      </c>
      <c r="C77" s="29"/>
      <c r="D77" s="29"/>
      <c r="E77" s="29"/>
      <c r="F77" s="29"/>
      <c r="G77" s="29"/>
      <c r="H77" s="29"/>
      <c r="I77" s="29"/>
      <c r="J77" s="66"/>
      <c r="K77" s="29"/>
      <c r="L77" s="67">
        <f>62600-60+1+2</f>
        <v>62543</v>
      </c>
      <c r="M77" s="29"/>
      <c r="N77" s="6"/>
    </row>
    <row r="78" spans="1:14" ht="15.75">
      <c r="A78" s="28"/>
      <c r="B78" s="29" t="s">
        <v>50</v>
      </c>
      <c r="C78" s="53"/>
      <c r="D78" s="57"/>
      <c r="E78" s="29"/>
      <c r="F78" s="29"/>
      <c r="G78" s="29"/>
      <c r="H78" s="29"/>
      <c r="I78" s="29"/>
      <c r="J78" s="66"/>
      <c r="K78" s="29"/>
      <c r="L78" s="67">
        <f>1378+155+56</f>
        <v>1589</v>
      </c>
      <c r="M78" s="29"/>
      <c r="N78" s="6"/>
    </row>
    <row r="79" spans="1:14" ht="15.75">
      <c r="A79" s="28"/>
      <c r="B79" s="29" t="s">
        <v>51</v>
      </c>
      <c r="C79" s="53"/>
      <c r="D79" s="57"/>
      <c r="E79" s="29"/>
      <c r="F79" s="29"/>
      <c r="G79" s="29"/>
      <c r="H79" s="29"/>
      <c r="I79" s="29"/>
      <c r="J79" s="66"/>
      <c r="K79" s="29"/>
      <c r="L79" s="67">
        <v>-10793</v>
      </c>
      <c r="M79" s="29"/>
      <c r="N79" s="6"/>
    </row>
    <row r="80" spans="1:14" ht="15.75">
      <c r="A80" s="28"/>
      <c r="B80" s="29" t="s">
        <v>192</v>
      </c>
      <c r="C80" s="53"/>
      <c r="D80" s="57"/>
      <c r="E80" s="29"/>
      <c r="F80" s="29"/>
      <c r="G80" s="29"/>
      <c r="H80" s="29"/>
      <c r="I80" s="29"/>
      <c r="J80" s="66"/>
      <c r="K80" s="29"/>
      <c r="L80" s="67">
        <v>-23</v>
      </c>
      <c r="M80" s="29"/>
      <c r="N80" s="6"/>
    </row>
    <row r="81" spans="1:14" ht="15.75">
      <c r="A81" s="28"/>
      <c r="B81" s="29" t="s">
        <v>52</v>
      </c>
      <c r="C81" s="29"/>
      <c r="D81" s="29"/>
      <c r="E81" s="29"/>
      <c r="F81" s="29"/>
      <c r="G81" s="29"/>
      <c r="H81" s="29"/>
      <c r="I81" s="29"/>
      <c r="J81" s="66"/>
      <c r="K81" s="29"/>
      <c r="L81" s="67">
        <v>0</v>
      </c>
      <c r="M81" s="29"/>
      <c r="N81" s="6"/>
    </row>
    <row r="82" spans="1:14" ht="15.75">
      <c r="A82" s="28"/>
      <c r="B82" s="29" t="s">
        <v>53</v>
      </c>
      <c r="C82" s="29"/>
      <c r="D82" s="29"/>
      <c r="E82" s="29"/>
      <c r="F82" s="29"/>
      <c r="G82" s="29"/>
      <c r="H82" s="29"/>
      <c r="I82" s="29"/>
      <c r="J82" s="66"/>
      <c r="K82" s="29"/>
      <c r="L82" s="67">
        <f>SUM(L77:L81)</f>
        <v>53316</v>
      </c>
      <c r="M82" s="29"/>
      <c r="N82" s="6"/>
    </row>
    <row r="83" spans="1:14" ht="15.75">
      <c r="A83" s="28"/>
      <c r="B83" s="29"/>
      <c r="C83" s="29"/>
      <c r="D83" s="29"/>
      <c r="E83" s="29"/>
      <c r="F83" s="29"/>
      <c r="G83" s="29"/>
      <c r="H83" s="29"/>
      <c r="I83" s="29"/>
      <c r="J83" s="66"/>
      <c r="K83" s="29"/>
      <c r="L83" s="68"/>
      <c r="M83" s="29"/>
      <c r="N83" s="6"/>
    </row>
    <row r="84" spans="1:14" ht="15.75">
      <c r="A84" s="28"/>
      <c r="B84" s="164" t="s">
        <v>54</v>
      </c>
      <c r="C84" s="73"/>
      <c r="D84" s="29"/>
      <c r="E84" s="29"/>
      <c r="F84" s="29"/>
      <c r="G84" s="29"/>
      <c r="H84" s="29"/>
      <c r="I84" s="29"/>
      <c r="J84" s="66"/>
      <c r="K84" s="29"/>
      <c r="L84" s="67"/>
      <c r="M84" s="29"/>
      <c r="N84" s="6"/>
    </row>
    <row r="85" spans="1:14" ht="15.75">
      <c r="A85" s="28">
        <v>1</v>
      </c>
      <c r="B85" s="29" t="s">
        <v>55</v>
      </c>
      <c r="C85" s="29"/>
      <c r="D85" s="29"/>
      <c r="E85" s="29"/>
      <c r="F85" s="29"/>
      <c r="G85" s="29"/>
      <c r="H85" s="29"/>
      <c r="I85" s="29"/>
      <c r="J85" s="29"/>
      <c r="K85" s="29"/>
      <c r="L85" s="67">
        <v>-4</v>
      </c>
      <c r="M85" s="29"/>
      <c r="N85" s="6"/>
    </row>
    <row r="86" spans="1:14" ht="15.75">
      <c r="A86" s="28">
        <f aca="true" t="shared" si="0" ref="A86:A94">A85+1</f>
        <v>2</v>
      </c>
      <c r="B86" s="29" t="s">
        <v>56</v>
      </c>
      <c r="C86" s="29"/>
      <c r="D86" s="29"/>
      <c r="E86" s="29"/>
      <c r="F86" s="29"/>
      <c r="G86" s="29"/>
      <c r="H86" s="29"/>
      <c r="I86" s="29"/>
      <c r="J86" s="29"/>
      <c r="K86" s="29"/>
      <c r="L86" s="67">
        <f>-461-116</f>
        <v>-577</v>
      </c>
      <c r="M86" s="29"/>
      <c r="N86" s="6"/>
    </row>
    <row r="87" spans="1:14" ht="15.75">
      <c r="A87" s="28">
        <f t="shared" si="0"/>
        <v>3</v>
      </c>
      <c r="B87" s="29" t="s">
        <v>57</v>
      </c>
      <c r="C87" s="29"/>
      <c r="D87" s="29"/>
      <c r="E87" s="29"/>
      <c r="F87" s="29"/>
      <c r="G87" s="29"/>
      <c r="H87" s="29"/>
      <c r="I87" s="29"/>
      <c r="J87" s="29"/>
      <c r="K87" s="29"/>
      <c r="L87" s="67">
        <v>-287</v>
      </c>
      <c r="M87" s="29"/>
      <c r="N87" s="6"/>
    </row>
    <row r="88" spans="1:14" ht="15.75">
      <c r="A88" s="28">
        <f t="shared" si="0"/>
        <v>4</v>
      </c>
      <c r="B88" s="29" t="s">
        <v>58</v>
      </c>
      <c r="C88" s="29"/>
      <c r="D88" s="29"/>
      <c r="E88" s="29"/>
      <c r="F88" s="29"/>
      <c r="G88" s="29"/>
      <c r="H88" s="29"/>
      <c r="I88" s="29"/>
      <c r="J88" s="29"/>
      <c r="K88" s="29"/>
      <c r="L88" s="67">
        <v>-1768</v>
      </c>
      <c r="M88" s="29"/>
      <c r="N88" s="6"/>
    </row>
    <row r="89" spans="1:14" ht="15.75">
      <c r="A89" s="28">
        <f t="shared" si="0"/>
        <v>5</v>
      </c>
      <c r="B89" s="29" t="s">
        <v>59</v>
      </c>
      <c r="C89" s="29"/>
      <c r="D89" s="29"/>
      <c r="E89" s="29"/>
      <c r="F89" s="29"/>
      <c r="G89" s="29"/>
      <c r="H89" s="29"/>
      <c r="I89" s="29"/>
      <c r="J89" s="29"/>
      <c r="K89" s="29"/>
      <c r="L89" s="67">
        <v>-5</v>
      </c>
      <c r="M89" s="29"/>
      <c r="N89" s="6"/>
    </row>
    <row r="90" spans="1:14" ht="15.75">
      <c r="A90" s="28">
        <f t="shared" si="0"/>
        <v>6</v>
      </c>
      <c r="B90" s="29" t="s">
        <v>60</v>
      </c>
      <c r="C90" s="29"/>
      <c r="D90" s="29"/>
      <c r="E90" s="29"/>
      <c r="F90" s="29"/>
      <c r="G90" s="29"/>
      <c r="H90" s="29"/>
      <c r="I90" s="29"/>
      <c r="J90" s="29"/>
      <c r="K90" s="29"/>
      <c r="L90" s="67">
        <v>-582</v>
      </c>
      <c r="M90" s="29"/>
      <c r="N90" s="6"/>
    </row>
    <row r="91" spans="1:14" ht="15.75">
      <c r="A91" s="28">
        <f t="shared" si="0"/>
        <v>7</v>
      </c>
      <c r="B91" s="29" t="s">
        <v>61</v>
      </c>
      <c r="C91" s="29"/>
      <c r="D91" s="29"/>
      <c r="E91" s="29"/>
      <c r="F91" s="29"/>
      <c r="G91" s="29"/>
      <c r="H91" s="29"/>
      <c r="I91" s="29"/>
      <c r="J91" s="29"/>
      <c r="K91" s="29"/>
      <c r="L91" s="67">
        <v>-316</v>
      </c>
      <c r="M91" s="29"/>
      <c r="N91" s="6"/>
    </row>
    <row r="92" spans="1:14" ht="15.75">
      <c r="A92" s="28">
        <f t="shared" si="0"/>
        <v>8</v>
      </c>
      <c r="B92" s="29" t="s">
        <v>62</v>
      </c>
      <c r="C92" s="29"/>
      <c r="D92" s="29"/>
      <c r="E92" s="29"/>
      <c r="F92" s="29"/>
      <c r="G92" s="29"/>
      <c r="H92" s="29"/>
      <c r="I92" s="29"/>
      <c r="J92" s="29"/>
      <c r="K92" s="29"/>
      <c r="L92" s="67">
        <v>0</v>
      </c>
      <c r="M92" s="29"/>
      <c r="N92" s="6"/>
    </row>
    <row r="93" spans="1:14" ht="15.75">
      <c r="A93" s="28">
        <f t="shared" si="0"/>
        <v>9</v>
      </c>
      <c r="B93" s="29" t="s">
        <v>44</v>
      </c>
      <c r="C93" s="29"/>
      <c r="D93" s="29"/>
      <c r="E93" s="29"/>
      <c r="F93" s="29"/>
      <c r="G93" s="29"/>
      <c r="H93" s="29"/>
      <c r="I93" s="29"/>
      <c r="J93" s="66"/>
      <c r="K93" s="29"/>
      <c r="L93" s="67">
        <f>L82+SUM(L85:L91)-L94</f>
        <v>46446</v>
      </c>
      <c r="M93" s="29"/>
      <c r="N93" s="6"/>
    </row>
    <row r="94" spans="1:15" ht="15.75">
      <c r="A94" s="28">
        <f t="shared" si="0"/>
        <v>10</v>
      </c>
      <c r="B94" s="29" t="s">
        <v>63</v>
      </c>
      <c r="C94" s="29"/>
      <c r="D94" s="29"/>
      <c r="E94" s="29"/>
      <c r="F94" s="29"/>
      <c r="G94" s="29"/>
      <c r="H94" s="29"/>
      <c r="I94" s="29"/>
      <c r="J94" s="29"/>
      <c r="K94" s="29"/>
      <c r="L94" s="67">
        <f>J195+SUM(L82:L91)+J197-J200</f>
        <v>3331</v>
      </c>
      <c r="M94" s="29"/>
      <c r="N94" s="6"/>
      <c r="O94" s="72"/>
    </row>
    <row r="95" spans="1:14" ht="15.75">
      <c r="A95" s="28"/>
      <c r="B95" s="32"/>
      <c r="C95" s="29"/>
      <c r="D95" s="29"/>
      <c r="E95" s="29"/>
      <c r="F95" s="29"/>
      <c r="G95" s="29"/>
      <c r="H95" s="29"/>
      <c r="I95" s="29"/>
      <c r="J95" s="66"/>
      <c r="K95" s="66"/>
      <c r="L95" s="66"/>
      <c r="M95" s="29"/>
      <c r="N95" s="6"/>
    </row>
    <row r="96" spans="1:14" ht="15.75">
      <c r="A96" s="7"/>
      <c r="B96" s="14"/>
      <c r="C96" s="9"/>
      <c r="D96" s="9"/>
      <c r="E96" s="9"/>
      <c r="F96" s="9"/>
      <c r="G96" s="9"/>
      <c r="H96" s="9"/>
      <c r="I96" s="9"/>
      <c r="J96" s="74"/>
      <c r="K96" s="74"/>
      <c r="L96" s="74"/>
      <c r="M96" s="9"/>
      <c r="N96" s="6"/>
    </row>
    <row r="97" spans="1:14" ht="16.5" thickBot="1">
      <c r="A97" s="144"/>
      <c r="B97" s="145" t="str">
        <f>B50</f>
        <v>PPAF1 INVESTOR REPORT QUARTER ENDING NOVEMBER 2003</v>
      </c>
      <c r="C97" s="146"/>
      <c r="D97" s="146"/>
      <c r="E97" s="146"/>
      <c r="F97" s="146"/>
      <c r="G97" s="146"/>
      <c r="H97" s="146"/>
      <c r="I97" s="146"/>
      <c r="J97" s="149"/>
      <c r="K97" s="149"/>
      <c r="L97" s="149"/>
      <c r="M97" s="148"/>
      <c r="N97" s="6"/>
    </row>
    <row r="98" spans="1:14" ht="15.75">
      <c r="A98" s="2"/>
      <c r="B98" s="5"/>
      <c r="C98" s="5"/>
      <c r="D98" s="5"/>
      <c r="E98" s="5"/>
      <c r="F98" s="5"/>
      <c r="G98" s="5"/>
      <c r="H98" s="5"/>
      <c r="I98" s="5"/>
      <c r="J98" s="75"/>
      <c r="K98" s="75"/>
      <c r="L98" s="75"/>
      <c r="M98" s="5"/>
      <c r="N98" s="6"/>
    </row>
    <row r="99" spans="1:14" ht="15.75">
      <c r="A99" s="76"/>
      <c r="B99" s="77" t="s">
        <v>64</v>
      </c>
      <c r="C99" s="78"/>
      <c r="D99" s="78"/>
      <c r="E99" s="78"/>
      <c r="F99" s="78"/>
      <c r="G99" s="78"/>
      <c r="H99" s="78"/>
      <c r="I99" s="78"/>
      <c r="J99" s="78"/>
      <c r="K99" s="78"/>
      <c r="L99" s="79"/>
      <c r="M99" s="80"/>
      <c r="N99" s="6"/>
    </row>
    <row r="100" spans="1:14" ht="15.75">
      <c r="A100" s="76"/>
      <c r="B100" s="78"/>
      <c r="C100" s="78"/>
      <c r="D100" s="78"/>
      <c r="E100" s="78"/>
      <c r="F100" s="78"/>
      <c r="G100" s="78"/>
      <c r="H100" s="78"/>
      <c r="I100" s="78"/>
      <c r="J100" s="78"/>
      <c r="K100" s="78"/>
      <c r="L100" s="79"/>
      <c r="M100" s="78"/>
      <c r="N100" s="6"/>
    </row>
    <row r="101" spans="1:14" ht="15.75">
      <c r="A101" s="7"/>
      <c r="B101" s="165" t="s">
        <v>65</v>
      </c>
      <c r="C101" s="15"/>
      <c r="D101" s="9"/>
      <c r="E101" s="9"/>
      <c r="F101" s="9"/>
      <c r="G101" s="9"/>
      <c r="H101" s="9"/>
      <c r="I101" s="9"/>
      <c r="J101" s="9"/>
      <c r="K101" s="9"/>
      <c r="L101" s="64"/>
      <c r="M101" s="9"/>
      <c r="N101" s="6"/>
    </row>
    <row r="102" spans="1:14" ht="15.75">
      <c r="A102" s="28"/>
      <c r="B102" s="29" t="s">
        <v>66</v>
      </c>
      <c r="C102" s="29"/>
      <c r="D102" s="29"/>
      <c r="E102" s="29"/>
      <c r="F102" s="29"/>
      <c r="G102" s="29"/>
      <c r="H102" s="29"/>
      <c r="I102" s="29"/>
      <c r="J102" s="29"/>
      <c r="K102" s="29"/>
      <c r="L102" s="67">
        <f>10793+400</f>
        <v>11193</v>
      </c>
      <c r="M102" s="29"/>
      <c r="N102" s="6"/>
    </row>
    <row r="103" spans="1:14" ht="15.75">
      <c r="A103" s="28"/>
      <c r="B103" s="29" t="s">
        <v>67</v>
      </c>
      <c r="C103" s="29"/>
      <c r="D103" s="29"/>
      <c r="E103" s="29"/>
      <c r="F103" s="29"/>
      <c r="G103" s="29"/>
      <c r="H103" s="29"/>
      <c r="I103" s="29"/>
      <c r="J103" s="29"/>
      <c r="K103" s="29"/>
      <c r="L103" s="67">
        <v>10793</v>
      </c>
      <c r="M103" s="29"/>
      <c r="N103" s="6"/>
    </row>
    <row r="104" spans="1:14" ht="15.75">
      <c r="A104" s="28"/>
      <c r="B104" s="29" t="s">
        <v>68</v>
      </c>
      <c r="C104" s="29"/>
      <c r="D104" s="29"/>
      <c r="E104" s="29"/>
      <c r="F104" s="29"/>
      <c r="G104" s="29"/>
      <c r="H104" s="29"/>
      <c r="I104" s="29"/>
      <c r="J104" s="29"/>
      <c r="K104" s="29"/>
      <c r="L104" s="67">
        <v>0</v>
      </c>
      <c r="M104" s="29"/>
      <c r="N104" s="6"/>
    </row>
    <row r="105" spans="1:14" ht="15.75">
      <c r="A105" s="28"/>
      <c r="B105" s="29" t="s">
        <v>69</v>
      </c>
      <c r="C105" s="29"/>
      <c r="D105" s="29"/>
      <c r="E105" s="29"/>
      <c r="F105" s="29"/>
      <c r="G105" s="29"/>
      <c r="H105" s="29"/>
      <c r="I105" s="29"/>
      <c r="J105" s="29"/>
      <c r="K105" s="29"/>
      <c r="L105" s="67">
        <v>0</v>
      </c>
      <c r="M105" s="29"/>
      <c r="N105" s="6"/>
    </row>
    <row r="106" spans="1:14" ht="15.75">
      <c r="A106" s="28"/>
      <c r="B106" s="29" t="s">
        <v>70</v>
      </c>
      <c r="C106" s="29"/>
      <c r="D106" s="29"/>
      <c r="E106" s="29"/>
      <c r="F106" s="29"/>
      <c r="G106" s="29"/>
      <c r="H106" s="29"/>
      <c r="I106" s="29"/>
      <c r="J106" s="29"/>
      <c r="K106" s="29"/>
      <c r="L106" s="67">
        <v>0</v>
      </c>
      <c r="M106" s="29"/>
      <c r="N106" s="6"/>
    </row>
    <row r="107" spans="1:14" ht="15.75">
      <c r="A107" s="28"/>
      <c r="B107" s="29" t="s">
        <v>58</v>
      </c>
      <c r="C107" s="29"/>
      <c r="D107" s="29"/>
      <c r="E107" s="29"/>
      <c r="F107" s="29"/>
      <c r="G107" s="29"/>
      <c r="H107" s="29"/>
      <c r="I107" s="29"/>
      <c r="J107" s="29"/>
      <c r="K107" s="29"/>
      <c r="L107" s="67">
        <v>0</v>
      </c>
      <c r="M107" s="29"/>
      <c r="N107" s="6"/>
    </row>
    <row r="108" spans="1:14" ht="15.75">
      <c r="A108" s="28"/>
      <c r="B108" s="29" t="s">
        <v>60</v>
      </c>
      <c r="C108" s="29"/>
      <c r="D108" s="29"/>
      <c r="E108" s="29"/>
      <c r="F108" s="29"/>
      <c r="G108" s="29"/>
      <c r="H108" s="29"/>
      <c r="I108" s="29"/>
      <c r="J108" s="29"/>
      <c r="K108" s="29"/>
      <c r="L108" s="67">
        <v>0</v>
      </c>
      <c r="M108" s="29"/>
      <c r="N108" s="6"/>
    </row>
    <row r="109" spans="1:14" ht="15.75">
      <c r="A109" s="28"/>
      <c r="B109" s="29" t="s">
        <v>61</v>
      </c>
      <c r="C109" s="29"/>
      <c r="D109" s="29"/>
      <c r="E109" s="29"/>
      <c r="F109" s="29"/>
      <c r="G109" s="29"/>
      <c r="H109" s="29"/>
      <c r="I109" s="29"/>
      <c r="J109" s="29"/>
      <c r="K109" s="29"/>
      <c r="L109" s="67">
        <v>0</v>
      </c>
      <c r="M109" s="29"/>
      <c r="N109" s="6"/>
    </row>
    <row r="110" spans="1:14" ht="15.75">
      <c r="A110" s="28"/>
      <c r="B110" s="29" t="s">
        <v>71</v>
      </c>
      <c r="C110" s="29"/>
      <c r="D110" s="29"/>
      <c r="E110" s="29"/>
      <c r="F110" s="29"/>
      <c r="G110" s="29"/>
      <c r="H110" s="29"/>
      <c r="I110" s="29"/>
      <c r="J110" s="29"/>
      <c r="K110" s="29"/>
      <c r="L110" s="67">
        <f>L103</f>
        <v>10793</v>
      </c>
      <c r="M110" s="29"/>
      <c r="N110" s="6"/>
    </row>
    <row r="111" spans="1:14" ht="15.75">
      <c r="A111" s="28"/>
      <c r="B111" s="29"/>
      <c r="C111" s="29"/>
      <c r="D111" s="29"/>
      <c r="E111" s="29"/>
      <c r="F111" s="29"/>
      <c r="G111" s="29"/>
      <c r="H111" s="29"/>
      <c r="I111" s="29"/>
      <c r="J111" s="29"/>
      <c r="K111" s="29"/>
      <c r="L111" s="81"/>
      <c r="M111" s="29"/>
      <c r="N111" s="6"/>
    </row>
    <row r="112" spans="1:14" ht="15.75">
      <c r="A112" s="7"/>
      <c r="B112" s="165" t="s">
        <v>72</v>
      </c>
      <c r="C112" s="15"/>
      <c r="D112" s="9"/>
      <c r="E112" s="9"/>
      <c r="F112" s="9"/>
      <c r="G112" s="157"/>
      <c r="H112" s="9"/>
      <c r="I112" s="9"/>
      <c r="J112" s="9"/>
      <c r="K112" s="9"/>
      <c r="L112" s="83"/>
      <c r="M112" s="9"/>
      <c r="N112" s="6"/>
    </row>
    <row r="113" spans="1:14" ht="15.75">
      <c r="A113" s="7"/>
      <c r="B113" s="15"/>
      <c r="C113" s="19" t="s">
        <v>140</v>
      </c>
      <c r="D113" s="19" t="s">
        <v>150</v>
      </c>
      <c r="E113" s="19" t="s">
        <v>156</v>
      </c>
      <c r="F113" s="19" t="s">
        <v>165</v>
      </c>
      <c r="G113" s="157"/>
      <c r="H113" s="157"/>
      <c r="I113" s="9"/>
      <c r="J113" s="9"/>
      <c r="K113" s="9"/>
      <c r="L113" s="83"/>
      <c r="M113" s="9"/>
      <c r="N113" s="6"/>
    </row>
    <row r="114" spans="1:14" ht="15.75">
      <c r="A114" s="28"/>
      <c r="B114" s="29" t="s">
        <v>73</v>
      </c>
      <c r="C114" s="66">
        <f>E178-'Aug 03'!E178</f>
        <v>500</v>
      </c>
      <c r="D114" s="66">
        <f>J178-'Aug 03'!J178</f>
        <v>171</v>
      </c>
      <c r="E114" s="66">
        <f>E188-'Aug 03'!E188</f>
        <v>-10</v>
      </c>
      <c r="F114" s="66">
        <f>J188-'Aug 03'!J188</f>
        <v>25</v>
      </c>
      <c r="G114" s="156"/>
      <c r="H114" s="156"/>
      <c r="I114" s="29"/>
      <c r="J114" s="29"/>
      <c r="K114" s="29"/>
      <c r="L114" s="67">
        <f>SUM(C114:F114)</f>
        <v>686</v>
      </c>
      <c r="M114" s="29"/>
      <c r="N114" s="6"/>
    </row>
    <row r="115" spans="1:14" ht="15.75">
      <c r="A115" s="28"/>
      <c r="B115" s="29" t="s">
        <v>74</v>
      </c>
      <c r="C115" s="29">
        <f>131+23+46+4</f>
        <v>204</v>
      </c>
      <c r="D115" s="29">
        <v>13</v>
      </c>
      <c r="E115" s="29">
        <v>42</v>
      </c>
      <c r="F115" s="29">
        <f>215+94</f>
        <v>309</v>
      </c>
      <c r="G115" s="156"/>
      <c r="H115" s="156"/>
      <c r="I115" s="29"/>
      <c r="J115" s="29"/>
      <c r="K115" s="29"/>
      <c r="L115" s="67">
        <f>SUM(C115:F115)</f>
        <v>568</v>
      </c>
      <c r="M115" s="29"/>
      <c r="N115" s="6"/>
    </row>
    <row r="116" spans="1:14" ht="15.75">
      <c r="A116" s="28"/>
      <c r="B116" s="29" t="s">
        <v>75</v>
      </c>
      <c r="C116" s="29"/>
      <c r="D116" s="29"/>
      <c r="E116" s="29"/>
      <c r="F116" s="29"/>
      <c r="G116" s="29"/>
      <c r="H116" s="29"/>
      <c r="I116" s="29"/>
      <c r="J116" s="29"/>
      <c r="K116" s="29"/>
      <c r="L116" s="67">
        <f>SUM(L114:L115)</f>
        <v>1254</v>
      </c>
      <c r="M116" s="29"/>
      <c r="N116" s="6"/>
    </row>
    <row r="117" spans="1:14" ht="15.75">
      <c r="A117" s="28"/>
      <c r="B117" s="29" t="s">
        <v>76</v>
      </c>
      <c r="C117" s="66">
        <v>328</v>
      </c>
      <c r="D117" s="29"/>
      <c r="E117" s="29"/>
      <c r="F117" s="29"/>
      <c r="G117" s="29"/>
      <c r="H117" s="29"/>
      <c r="I117" s="29"/>
      <c r="J117" s="29"/>
      <c r="K117" s="29"/>
      <c r="L117" s="85"/>
      <c r="M117" s="29"/>
      <c r="N117" s="6"/>
    </row>
    <row r="118" spans="1:14" ht="15.75">
      <c r="A118" s="7"/>
      <c r="B118" s="165" t="s">
        <v>77</v>
      </c>
      <c r="C118" s="15"/>
      <c r="D118" s="9"/>
      <c r="E118" s="9"/>
      <c r="F118" s="9"/>
      <c r="G118" s="9"/>
      <c r="H118" s="9"/>
      <c r="I118" s="9"/>
      <c r="J118" s="9"/>
      <c r="K118" s="9"/>
      <c r="L118" s="64"/>
      <c r="M118" s="9"/>
      <c r="N118" s="6"/>
    </row>
    <row r="119" spans="1:14" ht="15.75">
      <c r="A119" s="28"/>
      <c r="B119" s="29" t="s">
        <v>78</v>
      </c>
      <c r="C119" s="143"/>
      <c r="D119" s="143"/>
      <c r="E119" s="143"/>
      <c r="F119" s="143"/>
      <c r="G119" s="29"/>
      <c r="H119" s="29"/>
      <c r="I119" s="29"/>
      <c r="J119" s="29"/>
      <c r="K119" s="29"/>
      <c r="L119" s="67">
        <f>L67</f>
        <v>232086</v>
      </c>
      <c r="M119" s="29"/>
      <c r="N119" s="6"/>
    </row>
    <row r="120" spans="1:14" ht="15.75">
      <c r="A120" s="28"/>
      <c r="B120" s="29" t="s">
        <v>79</v>
      </c>
      <c r="C120" s="86"/>
      <c r="D120" s="29"/>
      <c r="E120" s="29"/>
      <c r="F120" s="29"/>
      <c r="G120" s="29"/>
      <c r="H120" s="29"/>
      <c r="I120" s="29"/>
      <c r="J120" s="29"/>
      <c r="K120" s="29"/>
      <c r="L120" s="67">
        <f>L70</f>
        <v>46442</v>
      </c>
      <c r="M120" s="29"/>
      <c r="N120" s="6"/>
    </row>
    <row r="121" spans="1:15" ht="15.75">
      <c r="A121" s="28"/>
      <c r="B121" s="29" t="s">
        <v>80</v>
      </c>
      <c r="C121" s="86"/>
      <c r="D121" s="29"/>
      <c r="E121" s="29"/>
      <c r="F121" s="29"/>
      <c r="G121" s="29"/>
      <c r="H121" s="29"/>
      <c r="I121" s="29"/>
      <c r="J121" s="29"/>
      <c r="K121" s="29"/>
      <c r="L121" s="67">
        <f>L120+L119+L72+L73</f>
        <v>278528</v>
      </c>
      <c r="M121" s="29"/>
      <c r="N121" s="6"/>
      <c r="O121" s="72"/>
    </row>
    <row r="122" spans="1:15" ht="15.75">
      <c r="A122" s="28"/>
      <c r="B122" s="29" t="s">
        <v>81</v>
      </c>
      <c r="C122" s="86"/>
      <c r="D122" s="29"/>
      <c r="E122" s="29"/>
      <c r="F122" s="29"/>
      <c r="G122" s="29"/>
      <c r="H122" s="29"/>
      <c r="I122" s="29"/>
      <c r="J122" s="29"/>
      <c r="K122" s="29"/>
      <c r="L122" s="67">
        <f>L74</f>
        <v>251000</v>
      </c>
      <c r="M122" s="29"/>
      <c r="N122" s="6"/>
      <c r="O122" s="72"/>
    </row>
    <row r="123" spans="1:14" ht="15.75">
      <c r="A123" s="28"/>
      <c r="B123" s="29"/>
      <c r="C123" s="29"/>
      <c r="D123" s="29"/>
      <c r="E123" s="29"/>
      <c r="F123" s="29"/>
      <c r="G123" s="29"/>
      <c r="H123" s="29"/>
      <c r="I123" s="29"/>
      <c r="J123" s="29"/>
      <c r="K123" s="29"/>
      <c r="L123" s="85"/>
      <c r="M123" s="29"/>
      <c r="N123" s="6"/>
    </row>
    <row r="124" spans="1:14" ht="15.75">
      <c r="A124" s="7"/>
      <c r="B124" s="165" t="s">
        <v>82</v>
      </c>
      <c r="C124" s="158"/>
      <c r="D124" s="158"/>
      <c r="E124" s="158"/>
      <c r="F124" s="158"/>
      <c r="G124" s="158"/>
      <c r="H124" s="159" t="s">
        <v>176</v>
      </c>
      <c r="I124" s="166"/>
      <c r="J124" s="159" t="s">
        <v>179</v>
      </c>
      <c r="K124" s="158"/>
      <c r="L124" s="167" t="s">
        <v>131</v>
      </c>
      <c r="M124" s="177"/>
      <c r="N124" s="6"/>
    </row>
    <row r="125" spans="1:14" ht="15.75">
      <c r="A125" s="28"/>
      <c r="B125" s="29" t="s">
        <v>83</v>
      </c>
      <c r="C125" s="29"/>
      <c r="D125" s="29"/>
      <c r="E125" s="29"/>
      <c r="F125" s="29"/>
      <c r="G125" s="29"/>
      <c r="H125" s="67">
        <v>0</v>
      </c>
      <c r="I125" s="29"/>
      <c r="J125" s="89" t="s">
        <v>180</v>
      </c>
      <c r="K125" s="29"/>
      <c r="L125" s="67">
        <f>H125</f>
        <v>0</v>
      </c>
      <c r="M125" s="29"/>
      <c r="N125" s="6"/>
    </row>
    <row r="126" spans="1:14" ht="15.75">
      <c r="A126" s="28"/>
      <c r="B126" s="29" t="s">
        <v>84</v>
      </c>
      <c r="C126" s="29"/>
      <c r="D126" s="29"/>
      <c r="E126" s="29"/>
      <c r="F126" s="29"/>
      <c r="G126" s="29"/>
      <c r="H126" s="67">
        <v>78</v>
      </c>
      <c r="I126" s="29"/>
      <c r="J126" s="89" t="s">
        <v>180</v>
      </c>
      <c r="K126" s="29"/>
      <c r="L126" s="67">
        <f>H126</f>
        <v>78</v>
      </c>
      <c r="M126" s="29"/>
      <c r="N126" s="6"/>
    </row>
    <row r="127" spans="1:14" ht="15.75">
      <c r="A127" s="28"/>
      <c r="B127" s="29" t="s">
        <v>85</v>
      </c>
      <c r="C127" s="29"/>
      <c r="D127" s="29"/>
      <c r="E127" s="29"/>
      <c r="F127" s="29"/>
      <c r="G127" s="29"/>
      <c r="H127" s="67">
        <v>0</v>
      </c>
      <c r="I127" s="29"/>
      <c r="J127" s="89" t="s">
        <v>180</v>
      </c>
      <c r="K127" s="29"/>
      <c r="L127" s="67">
        <f>H127</f>
        <v>0</v>
      </c>
      <c r="M127" s="29"/>
      <c r="N127" s="6"/>
    </row>
    <row r="128" spans="1:14" ht="15.75">
      <c r="A128" s="28"/>
      <c r="B128" s="29" t="s">
        <v>86</v>
      </c>
      <c r="C128" s="29"/>
      <c r="D128" s="29"/>
      <c r="E128" s="29"/>
      <c r="F128" s="29"/>
      <c r="G128" s="29"/>
      <c r="H128" s="67">
        <f>SUM(H126:H127)</f>
        <v>78</v>
      </c>
      <c r="I128" s="29"/>
      <c r="J128" s="89" t="s">
        <v>180</v>
      </c>
      <c r="K128" s="29"/>
      <c r="L128" s="67">
        <f>H128</f>
        <v>78</v>
      </c>
      <c r="M128" s="29"/>
      <c r="N128" s="6"/>
    </row>
    <row r="129" spans="1:14" ht="15.75">
      <c r="A129" s="28"/>
      <c r="B129" s="29" t="s">
        <v>87</v>
      </c>
      <c r="C129" s="29"/>
      <c r="D129" s="29"/>
      <c r="E129" s="29"/>
      <c r="F129" s="29"/>
      <c r="G129" s="29"/>
      <c r="H129" s="67">
        <v>0</v>
      </c>
      <c r="I129" s="29"/>
      <c r="J129" s="89" t="s">
        <v>180</v>
      </c>
      <c r="K129" s="29"/>
      <c r="L129" s="67">
        <f>H129</f>
        <v>0</v>
      </c>
      <c r="M129" s="29"/>
      <c r="N129" s="6"/>
    </row>
    <row r="130" spans="1:14" ht="15.75">
      <c r="A130" s="28"/>
      <c r="B130" s="29"/>
      <c r="C130" s="29"/>
      <c r="D130" s="29"/>
      <c r="E130" s="29"/>
      <c r="F130" s="29"/>
      <c r="G130" s="29"/>
      <c r="H130" s="29"/>
      <c r="I130" s="29"/>
      <c r="J130" s="29"/>
      <c r="K130" s="29"/>
      <c r="L130" s="29"/>
      <c r="M130" s="29"/>
      <c r="N130" s="6"/>
    </row>
    <row r="131" spans="1:14" ht="15.75">
      <c r="A131" s="28"/>
      <c r="B131" s="32"/>
      <c r="C131" s="32"/>
      <c r="D131" s="32"/>
      <c r="E131" s="32"/>
      <c r="F131" s="32"/>
      <c r="G131" s="32"/>
      <c r="H131" s="32"/>
      <c r="I131" s="32"/>
      <c r="J131" s="32"/>
      <c r="K131" s="32"/>
      <c r="L131" s="32"/>
      <c r="M131" s="32"/>
      <c r="N131" s="6"/>
    </row>
    <row r="132" spans="1:14" ht="15.75">
      <c r="A132" s="90"/>
      <c r="B132" s="63" t="s">
        <v>88</v>
      </c>
      <c r="C132" s="91"/>
      <c r="D132" s="91"/>
      <c r="E132" s="91"/>
      <c r="F132" s="91"/>
      <c r="G132" s="21"/>
      <c r="H132" s="21"/>
      <c r="I132" s="21"/>
      <c r="J132" s="21">
        <v>37953</v>
      </c>
      <c r="K132" s="17"/>
      <c r="L132" s="17"/>
      <c r="M132" s="9"/>
      <c r="N132" s="6"/>
    </row>
    <row r="133" spans="1:14" ht="15.75">
      <c r="A133" s="92"/>
      <c r="B133" s="93" t="s">
        <v>89</v>
      </c>
      <c r="C133" s="94"/>
      <c r="D133" s="94"/>
      <c r="E133" s="94"/>
      <c r="F133" s="94"/>
      <c r="G133" s="95"/>
      <c r="H133" s="95"/>
      <c r="I133" s="95"/>
      <c r="J133" s="96">
        <v>0.1226</v>
      </c>
      <c r="K133" s="29"/>
      <c r="L133" s="29"/>
      <c r="M133" s="29"/>
      <c r="N133" s="6"/>
    </row>
    <row r="134" spans="1:14" ht="15.75">
      <c r="A134" s="92"/>
      <c r="B134" s="93" t="s">
        <v>90</v>
      </c>
      <c r="C134" s="94"/>
      <c r="D134" s="94"/>
      <c r="E134" s="94"/>
      <c r="F134" s="94"/>
      <c r="G134" s="95"/>
      <c r="H134" s="95"/>
      <c r="I134" s="95"/>
      <c r="J134" s="96">
        <v>0.0582</v>
      </c>
      <c r="K134" s="96"/>
      <c r="L134" s="29"/>
      <c r="M134" s="29"/>
      <c r="N134" s="6"/>
    </row>
    <row r="135" spans="1:14" ht="15.75">
      <c r="A135" s="92"/>
      <c r="B135" s="93" t="s">
        <v>91</v>
      </c>
      <c r="C135" s="94"/>
      <c r="D135" s="94"/>
      <c r="E135" s="94"/>
      <c r="F135" s="94"/>
      <c r="G135" s="95"/>
      <c r="H135" s="95"/>
      <c r="I135" s="95"/>
      <c r="J135" s="96">
        <f>J133-J134</f>
        <v>0.0644</v>
      </c>
      <c r="K135" s="29"/>
      <c r="L135" s="29"/>
      <c r="M135" s="29"/>
      <c r="N135" s="6"/>
    </row>
    <row r="136" spans="1:14" ht="15.75">
      <c r="A136" s="92"/>
      <c r="B136" s="93" t="s">
        <v>92</v>
      </c>
      <c r="C136" s="94"/>
      <c r="D136" s="94"/>
      <c r="E136" s="94"/>
      <c r="F136" s="94"/>
      <c r="G136" s="95"/>
      <c r="H136" s="95"/>
      <c r="I136" s="95"/>
      <c r="J136" s="96">
        <v>0.1129</v>
      </c>
      <c r="K136" s="29"/>
      <c r="L136" s="29"/>
      <c r="M136" s="29"/>
      <c r="N136" s="6"/>
    </row>
    <row r="137" spans="1:14" ht="15.75">
      <c r="A137" s="92"/>
      <c r="B137" s="93" t="s">
        <v>93</v>
      </c>
      <c r="C137" s="94"/>
      <c r="D137" s="94"/>
      <c r="E137" s="94"/>
      <c r="F137" s="94"/>
      <c r="G137" s="95"/>
      <c r="H137" s="95"/>
      <c r="I137" s="95"/>
      <c r="J137" s="96">
        <f>L32</f>
        <v>0.042604878884462155</v>
      </c>
      <c r="K137" s="29"/>
      <c r="L137" s="29"/>
      <c r="M137" s="29"/>
      <c r="N137" s="6"/>
    </row>
    <row r="138" spans="1:14" ht="15.75">
      <c r="A138" s="92"/>
      <c r="B138" s="93" t="s">
        <v>94</v>
      </c>
      <c r="C138" s="94"/>
      <c r="D138" s="94"/>
      <c r="E138" s="94"/>
      <c r="F138" s="94"/>
      <c r="G138" s="95"/>
      <c r="H138" s="95"/>
      <c r="I138" s="95"/>
      <c r="J138" s="96">
        <f>J136-J137</f>
        <v>0.07029512111553785</v>
      </c>
      <c r="K138" s="29"/>
      <c r="L138" s="29"/>
      <c r="M138" s="29"/>
      <c r="N138" s="6"/>
    </row>
    <row r="139" spans="1:14" ht="15.75">
      <c r="A139" s="92"/>
      <c r="B139" s="93" t="s">
        <v>95</v>
      </c>
      <c r="C139" s="94"/>
      <c r="D139" s="94"/>
      <c r="E139" s="94"/>
      <c r="F139" s="94"/>
      <c r="G139" s="95"/>
      <c r="H139" s="95"/>
      <c r="I139" s="95"/>
      <c r="J139" s="96" t="s">
        <v>181</v>
      </c>
      <c r="K139" s="29"/>
      <c r="L139" s="29"/>
      <c r="M139" s="29"/>
      <c r="N139" s="6"/>
    </row>
    <row r="140" spans="1:14" ht="15.75">
      <c r="A140" s="92"/>
      <c r="B140" s="93" t="s">
        <v>96</v>
      </c>
      <c r="C140" s="94"/>
      <c r="D140" s="94"/>
      <c r="E140" s="94"/>
      <c r="F140" s="94"/>
      <c r="G140" s="95"/>
      <c r="H140" s="95"/>
      <c r="I140" s="95"/>
      <c r="J140" s="96" t="s">
        <v>182</v>
      </c>
      <c r="K140" s="29"/>
      <c r="L140" s="29"/>
      <c r="M140" s="29"/>
      <c r="N140" s="6"/>
    </row>
    <row r="141" spans="1:14" ht="15.75">
      <c r="A141" s="92"/>
      <c r="B141" s="93" t="s">
        <v>97</v>
      </c>
      <c r="C141" s="94"/>
      <c r="D141" s="94"/>
      <c r="E141" s="94"/>
      <c r="F141" s="94"/>
      <c r="G141" s="95"/>
      <c r="H141" s="95"/>
      <c r="I141" s="95"/>
      <c r="J141" s="96" t="s">
        <v>183</v>
      </c>
      <c r="K141" s="29"/>
      <c r="L141" s="29"/>
      <c r="M141" s="29"/>
      <c r="N141" s="6"/>
    </row>
    <row r="142" spans="1:14" ht="15.75">
      <c r="A142" s="92"/>
      <c r="B142" s="93" t="s">
        <v>98</v>
      </c>
      <c r="C142" s="94"/>
      <c r="D142" s="94"/>
      <c r="E142" s="94"/>
      <c r="F142" s="94"/>
      <c r="G142" s="95"/>
      <c r="H142" s="95"/>
      <c r="I142" s="95"/>
      <c r="J142" s="97">
        <v>4.08</v>
      </c>
      <c r="K142" s="29"/>
      <c r="L142" s="29"/>
      <c r="M142" s="29"/>
      <c r="N142" s="6"/>
    </row>
    <row r="143" spans="1:14" ht="15.75">
      <c r="A143" s="92"/>
      <c r="B143" s="93" t="s">
        <v>99</v>
      </c>
      <c r="C143" s="94"/>
      <c r="D143" s="94"/>
      <c r="E143" s="94"/>
      <c r="F143" s="94"/>
      <c r="G143" s="95"/>
      <c r="H143" s="95"/>
      <c r="I143" s="95"/>
      <c r="J143" s="97">
        <v>7.44</v>
      </c>
      <c r="K143" s="29"/>
      <c r="L143" s="29"/>
      <c r="M143" s="29"/>
      <c r="N143" s="6"/>
    </row>
    <row r="144" spans="1:14" ht="15.75">
      <c r="A144" s="92"/>
      <c r="B144" s="93" t="s">
        <v>100</v>
      </c>
      <c r="C144" s="94"/>
      <c r="D144" s="94"/>
      <c r="E144" s="94"/>
      <c r="F144" s="94"/>
      <c r="G144" s="95"/>
      <c r="H144" s="95"/>
      <c r="I144" s="95"/>
      <c r="J144" s="96">
        <v>0.1519</v>
      </c>
      <c r="K144" s="29"/>
      <c r="L144" s="29"/>
      <c r="M144" s="29"/>
      <c r="N144" s="6"/>
    </row>
    <row r="145" spans="1:14" ht="15.75">
      <c r="A145" s="92"/>
      <c r="B145" s="93" t="s">
        <v>101</v>
      </c>
      <c r="C145" s="94"/>
      <c r="D145" s="94"/>
      <c r="E145" s="94"/>
      <c r="F145" s="94"/>
      <c r="G145" s="95"/>
      <c r="H145" s="95"/>
      <c r="I145" s="95"/>
      <c r="J145" s="96">
        <v>0.4593</v>
      </c>
      <c r="K145" s="29"/>
      <c r="L145" s="29"/>
      <c r="M145" s="29"/>
      <c r="N145" s="6"/>
    </row>
    <row r="146" spans="1:14" ht="15.75">
      <c r="A146" s="92"/>
      <c r="B146" s="93"/>
      <c r="C146" s="93"/>
      <c r="D146" s="93"/>
      <c r="E146" s="93"/>
      <c r="F146" s="93"/>
      <c r="G146" s="29"/>
      <c r="H146" s="29"/>
      <c r="I146" s="36"/>
      <c r="J146" s="98"/>
      <c r="K146" s="29"/>
      <c r="L146" s="99"/>
      <c r="M146" s="29"/>
      <c r="N146" s="6"/>
    </row>
    <row r="147" spans="1:14" ht="15.75">
      <c r="A147" s="90"/>
      <c r="B147" s="100"/>
      <c r="C147" s="100"/>
      <c r="D147" s="100"/>
      <c r="E147" s="100"/>
      <c r="F147" s="100"/>
      <c r="G147" s="9"/>
      <c r="H147" s="9"/>
      <c r="I147" s="22"/>
      <c r="J147" s="101"/>
      <c r="K147" s="9"/>
      <c r="L147" s="102"/>
      <c r="M147" s="9"/>
      <c r="N147" s="6"/>
    </row>
    <row r="148" spans="1:14" ht="16.5" thickBot="1">
      <c r="A148" s="150"/>
      <c r="B148" s="145" t="str">
        <f>B97</f>
        <v>PPAF1 INVESTOR REPORT QUARTER ENDING NOVEMBER 2003</v>
      </c>
      <c r="C148" s="151"/>
      <c r="D148" s="151"/>
      <c r="E148" s="151"/>
      <c r="F148" s="151"/>
      <c r="G148" s="146"/>
      <c r="H148" s="146"/>
      <c r="I148" s="152"/>
      <c r="J148" s="153"/>
      <c r="K148" s="146"/>
      <c r="L148" s="154"/>
      <c r="M148" s="148"/>
      <c r="N148" s="6"/>
    </row>
    <row r="149" spans="1:14" ht="15.75">
      <c r="A149" s="103"/>
      <c r="B149" s="104" t="s">
        <v>102</v>
      </c>
      <c r="C149" s="105"/>
      <c r="D149" s="106"/>
      <c r="E149" s="105"/>
      <c r="F149" s="106"/>
      <c r="G149" s="105"/>
      <c r="H149" s="106"/>
      <c r="I149" s="105" t="s">
        <v>141</v>
      </c>
      <c r="J149" s="106" t="s">
        <v>184</v>
      </c>
      <c r="K149" s="107"/>
      <c r="L149" s="107"/>
      <c r="M149" s="5"/>
      <c r="N149" s="6"/>
    </row>
    <row r="150" spans="1:14" ht="15.75">
      <c r="A150" s="108"/>
      <c r="B150" s="93" t="s">
        <v>103</v>
      </c>
      <c r="C150" s="68"/>
      <c r="D150" s="68"/>
      <c r="E150" s="68"/>
      <c r="F150" s="29"/>
      <c r="G150" s="29"/>
      <c r="H150" s="29"/>
      <c r="I150" s="29">
        <v>814</v>
      </c>
      <c r="J150" s="67">
        <v>5142</v>
      </c>
      <c r="K150" s="67"/>
      <c r="L150" s="99"/>
      <c r="M150" s="109"/>
      <c r="N150" s="6"/>
    </row>
    <row r="151" spans="1:14" ht="15.75">
      <c r="A151" s="108"/>
      <c r="B151" s="93" t="s">
        <v>104</v>
      </c>
      <c r="C151" s="68"/>
      <c r="D151" s="68"/>
      <c r="E151" s="68"/>
      <c r="F151" s="29"/>
      <c r="G151" s="29"/>
      <c r="H151" s="29"/>
      <c r="I151" s="29">
        <v>7</v>
      </c>
      <c r="J151" s="67">
        <v>64</v>
      </c>
      <c r="K151" s="67"/>
      <c r="L151" s="99"/>
      <c r="M151" s="109"/>
      <c r="N151" s="6"/>
    </row>
    <row r="152" spans="1:14" ht="15.75">
      <c r="A152" s="108"/>
      <c r="B152" s="168" t="s">
        <v>105</v>
      </c>
      <c r="C152" s="68"/>
      <c r="D152" s="68"/>
      <c r="E152" s="68"/>
      <c r="F152" s="29"/>
      <c r="G152" s="29"/>
      <c r="H152" s="29"/>
      <c r="I152" s="29"/>
      <c r="J152" s="110">
        <v>0</v>
      </c>
      <c r="K152" s="29"/>
      <c r="L152" s="99"/>
      <c r="M152" s="109"/>
      <c r="N152" s="6"/>
    </row>
    <row r="153" spans="1:14" ht="15.75">
      <c r="A153" s="108"/>
      <c r="B153" s="168" t="s">
        <v>106</v>
      </c>
      <c r="C153" s="68"/>
      <c r="D153" s="68"/>
      <c r="E153" s="68"/>
      <c r="F153" s="29"/>
      <c r="G153" s="29"/>
      <c r="H153" s="29"/>
      <c r="I153" s="29"/>
      <c r="J153" s="67">
        <f>H67</f>
        <v>52515</v>
      </c>
      <c r="K153" s="29"/>
      <c r="L153" s="99"/>
      <c r="M153" s="109"/>
      <c r="N153" s="6"/>
    </row>
    <row r="154" spans="1:14" ht="15.75">
      <c r="A154" s="111"/>
      <c r="B154" s="168" t="s">
        <v>107</v>
      </c>
      <c r="C154" s="68"/>
      <c r="D154" s="93"/>
      <c r="E154" s="93"/>
      <c r="F154" s="93"/>
      <c r="G154" s="29"/>
      <c r="H154" s="29"/>
      <c r="I154" s="29"/>
      <c r="J154" s="112"/>
      <c r="K154" s="29"/>
      <c r="L154" s="99"/>
      <c r="M154" s="113"/>
      <c r="N154" s="6"/>
    </row>
    <row r="155" spans="1:14" ht="15.75">
      <c r="A155" s="108"/>
      <c r="B155" s="93" t="s">
        <v>108</v>
      </c>
      <c r="C155" s="68"/>
      <c r="D155" s="68"/>
      <c r="E155" s="68"/>
      <c r="F155" s="68"/>
      <c r="G155" s="29"/>
      <c r="H155" s="29"/>
      <c r="I155" s="29"/>
      <c r="J155" s="67">
        <f>L116</f>
        <v>1254</v>
      </c>
      <c r="K155" s="29"/>
      <c r="L155" s="99"/>
      <c r="M155" s="113"/>
      <c r="N155" s="6"/>
    </row>
    <row r="156" spans="1:14" ht="15.75">
      <c r="A156" s="108"/>
      <c r="B156" s="93" t="s">
        <v>109</v>
      </c>
      <c r="C156" s="68"/>
      <c r="D156" s="68"/>
      <c r="E156" s="68"/>
      <c r="F156" s="68"/>
      <c r="G156" s="29"/>
      <c r="H156" s="29"/>
      <c r="I156" s="29"/>
      <c r="J156" s="67">
        <f>L116+'Aug 03'!J156</f>
        <v>18798</v>
      </c>
      <c r="K156" s="29"/>
      <c r="L156" s="99"/>
      <c r="M156" s="113"/>
      <c r="N156" s="6"/>
    </row>
    <row r="157" spans="1:14" ht="15.75">
      <c r="A157" s="108"/>
      <c r="B157" s="93" t="s">
        <v>110</v>
      </c>
      <c r="C157" s="68"/>
      <c r="D157" s="68"/>
      <c r="E157" s="68"/>
      <c r="F157" s="68"/>
      <c r="G157" s="29"/>
      <c r="H157" s="29"/>
      <c r="I157" s="29"/>
      <c r="J157" s="67"/>
      <c r="K157" s="29"/>
      <c r="L157" s="99"/>
      <c r="M157" s="113"/>
      <c r="N157" s="6"/>
    </row>
    <row r="158" spans="1:14" ht="15.75">
      <c r="A158" s="108"/>
      <c r="B158" s="93"/>
      <c r="C158" s="68"/>
      <c r="D158" s="68"/>
      <c r="E158" s="68"/>
      <c r="F158" s="68"/>
      <c r="G158" s="29"/>
      <c r="H158" s="29"/>
      <c r="I158" s="29"/>
      <c r="J158" s="67"/>
      <c r="K158" s="29"/>
      <c r="L158" s="99"/>
      <c r="M158" s="113"/>
      <c r="N158" s="6"/>
    </row>
    <row r="159" spans="1:14" ht="15.75">
      <c r="A159" s="111"/>
      <c r="B159" s="168" t="s">
        <v>111</v>
      </c>
      <c r="C159" s="68"/>
      <c r="D159" s="93"/>
      <c r="E159" s="93"/>
      <c r="F159" s="93"/>
      <c r="G159" s="29"/>
      <c r="H159" s="29"/>
      <c r="I159" s="29"/>
      <c r="J159" s="89"/>
      <c r="K159" s="29"/>
      <c r="L159" s="99"/>
      <c r="M159" s="113"/>
      <c r="N159" s="6"/>
    </row>
    <row r="160" spans="1:14" ht="15.75">
      <c r="A160" s="111"/>
      <c r="B160" s="93" t="s">
        <v>112</v>
      </c>
      <c r="C160" s="68"/>
      <c r="D160" s="93"/>
      <c r="E160" s="93"/>
      <c r="F160" s="93"/>
      <c r="G160" s="29"/>
      <c r="H160" s="29"/>
      <c r="I160" s="29"/>
      <c r="J160" s="89">
        <v>0</v>
      </c>
      <c r="K160" s="29"/>
      <c r="L160" s="99"/>
      <c r="M160" s="113"/>
      <c r="N160" s="6"/>
    </row>
    <row r="161" spans="1:14" ht="15.75">
      <c r="A161" s="108"/>
      <c r="B161" s="93" t="s">
        <v>113</v>
      </c>
      <c r="C161" s="68"/>
      <c r="D161" s="114"/>
      <c r="E161" s="114"/>
      <c r="F161" s="115"/>
      <c r="G161" s="29"/>
      <c r="H161" s="29"/>
      <c r="I161" s="29"/>
      <c r="J161" s="89">
        <v>0</v>
      </c>
      <c r="K161" s="29"/>
      <c r="L161" s="99"/>
      <c r="M161" s="113"/>
      <c r="N161" s="6"/>
    </row>
    <row r="162" spans="1:14" ht="15.75">
      <c r="A162" s="108"/>
      <c r="B162" s="93" t="s">
        <v>114</v>
      </c>
      <c r="C162" s="68"/>
      <c r="D162" s="114"/>
      <c r="E162" s="114"/>
      <c r="F162" s="115"/>
      <c r="G162" s="29"/>
      <c r="H162" s="29"/>
      <c r="I162" s="29"/>
      <c r="J162" s="89">
        <v>0</v>
      </c>
      <c r="K162" s="29"/>
      <c r="L162" s="99"/>
      <c r="M162" s="113"/>
      <c r="N162" s="6"/>
    </row>
    <row r="163" spans="1:14" ht="15.75">
      <c r="A163" s="108"/>
      <c r="B163" s="93" t="s">
        <v>115</v>
      </c>
      <c r="C163" s="68"/>
      <c r="D163" s="116"/>
      <c r="E163" s="114"/>
      <c r="F163" s="115"/>
      <c r="G163" s="29"/>
      <c r="H163" s="29"/>
      <c r="I163" s="29"/>
      <c r="J163" s="89">
        <v>0</v>
      </c>
      <c r="K163" s="29"/>
      <c r="L163" s="99"/>
      <c r="M163" s="113"/>
      <c r="N163" s="6"/>
    </row>
    <row r="164" spans="1:14" ht="15.75">
      <c r="A164" s="108"/>
      <c r="B164" s="93"/>
      <c r="C164" s="68"/>
      <c r="D164" s="116"/>
      <c r="E164" s="114"/>
      <c r="F164" s="115"/>
      <c r="G164" s="29"/>
      <c r="H164" s="29"/>
      <c r="I164" s="29"/>
      <c r="J164" s="89"/>
      <c r="K164" s="29"/>
      <c r="L164" s="99"/>
      <c r="M164" s="113"/>
      <c r="N164" s="6"/>
    </row>
    <row r="165" spans="1:14" ht="15.75">
      <c r="A165" s="108"/>
      <c r="B165" s="168" t="s">
        <v>116</v>
      </c>
      <c r="C165" s="68"/>
      <c r="D165" s="68"/>
      <c r="E165" s="116"/>
      <c r="F165" s="114"/>
      <c r="G165" s="115"/>
      <c r="H165" s="29"/>
      <c r="I165" s="36"/>
      <c r="J165" s="36"/>
      <c r="K165" s="117"/>
      <c r="L165" s="36"/>
      <c r="M165" s="99"/>
      <c r="N165" s="6"/>
    </row>
    <row r="166" spans="1:14" ht="15.75">
      <c r="A166" s="108"/>
      <c r="B166" s="93" t="s">
        <v>117</v>
      </c>
      <c r="C166" s="68"/>
      <c r="D166" s="68"/>
      <c r="E166" s="116"/>
      <c r="F166" s="114"/>
      <c r="G166" s="115"/>
      <c r="H166" s="29"/>
      <c r="I166" s="36"/>
      <c r="J166" s="118">
        <v>130</v>
      </c>
      <c r="K166" s="118"/>
      <c r="L166" s="36"/>
      <c r="M166" s="99"/>
      <c r="N166" s="6"/>
    </row>
    <row r="167" spans="1:14" ht="15.75">
      <c r="A167" s="108"/>
      <c r="B167" s="93" t="s">
        <v>113</v>
      </c>
      <c r="C167" s="68"/>
      <c r="D167" s="68"/>
      <c r="E167" s="116"/>
      <c r="F167" s="114"/>
      <c r="G167" s="115"/>
      <c r="H167" s="29"/>
      <c r="I167" s="36"/>
      <c r="J167" s="118">
        <v>1.44</v>
      </c>
      <c r="K167" s="118"/>
      <c r="L167" s="36"/>
      <c r="M167" s="99"/>
      <c r="N167" s="6"/>
    </row>
    <row r="168" spans="1:14" ht="15.75">
      <c r="A168" s="108"/>
      <c r="B168" s="93" t="s">
        <v>118</v>
      </c>
      <c r="C168" s="68"/>
      <c r="D168" s="68"/>
      <c r="E168" s="116"/>
      <c r="F168" s="114"/>
      <c r="G168" s="115"/>
      <c r="H168" s="29"/>
      <c r="I168" s="36"/>
      <c r="J168" s="118">
        <v>32</v>
      </c>
      <c r="K168" s="118"/>
      <c r="L168" s="36"/>
      <c r="M168" s="99"/>
      <c r="N168" s="6"/>
    </row>
    <row r="169" spans="1:14" ht="15.75">
      <c r="A169" s="108"/>
      <c r="B169" s="93"/>
      <c r="C169" s="68"/>
      <c r="D169" s="116"/>
      <c r="E169" s="114"/>
      <c r="F169" s="115"/>
      <c r="G169" s="29"/>
      <c r="H169" s="29"/>
      <c r="I169" s="29"/>
      <c r="J169" s="89"/>
      <c r="K169" s="29"/>
      <c r="L169" s="99"/>
      <c r="M169" s="113"/>
      <c r="N169" s="6"/>
    </row>
    <row r="170" spans="1:14" ht="15.75">
      <c r="A170" s="28"/>
      <c r="B170" s="119" t="s">
        <v>119</v>
      </c>
      <c r="C170" s="120"/>
      <c r="D170" s="121"/>
      <c r="E170" s="120"/>
      <c r="F170" s="121"/>
      <c r="G170" s="120"/>
      <c r="H170" s="121"/>
      <c r="I170" s="120"/>
      <c r="J170" s="121"/>
      <c r="K170" s="120"/>
      <c r="L170" s="122"/>
      <c r="M170" s="113"/>
      <c r="N170" s="6"/>
    </row>
    <row r="171" spans="1:14" ht="15.75">
      <c r="A171" s="28"/>
      <c r="B171" s="33"/>
      <c r="C171" s="156"/>
      <c r="D171" s="119" t="s">
        <v>151</v>
      </c>
      <c r="E171" s="120"/>
      <c r="F171" s="121"/>
      <c r="G171" s="120"/>
      <c r="H171" s="119" t="s">
        <v>39</v>
      </c>
      <c r="I171" s="120"/>
      <c r="J171" s="121"/>
      <c r="K171" s="120"/>
      <c r="L171" s="122"/>
      <c r="M171" s="113"/>
      <c r="N171" s="6"/>
    </row>
    <row r="172" spans="1:14" ht="15.75">
      <c r="A172" s="28"/>
      <c r="B172" s="156"/>
      <c r="C172" s="121" t="s">
        <v>141</v>
      </c>
      <c r="D172" s="120" t="s">
        <v>152</v>
      </c>
      <c r="E172" s="121" t="s">
        <v>157</v>
      </c>
      <c r="F172" s="120" t="s">
        <v>152</v>
      </c>
      <c r="G172" s="120"/>
      <c r="H172" s="121" t="s">
        <v>141</v>
      </c>
      <c r="I172" s="120" t="s">
        <v>152</v>
      </c>
      <c r="J172" s="121" t="s">
        <v>157</v>
      </c>
      <c r="K172" s="120" t="s">
        <v>152</v>
      </c>
      <c r="L172" s="122"/>
      <c r="M172" s="113"/>
      <c r="N172" s="6"/>
    </row>
    <row r="173" spans="1:14" ht="15.75">
      <c r="A173" s="28"/>
      <c r="B173" s="68" t="s">
        <v>120</v>
      </c>
      <c r="C173" s="123">
        <v>6115</v>
      </c>
      <c r="D173" s="96">
        <f>C173/C177</f>
        <v>0.8468356183354107</v>
      </c>
      <c r="E173" s="123">
        <v>35525</v>
      </c>
      <c r="F173" s="96">
        <f>E173/E177</f>
        <v>0.84730603191261</v>
      </c>
      <c r="G173" s="120"/>
      <c r="H173" s="123">
        <v>25843</v>
      </c>
      <c r="I173" s="96">
        <f>H173/H177</f>
        <v>0.9188622222222222</v>
      </c>
      <c r="J173" s="123">
        <v>19073</v>
      </c>
      <c r="K173" s="96">
        <f>J173/J177</f>
        <v>0.9145967200537067</v>
      </c>
      <c r="L173" s="122"/>
      <c r="M173" s="113"/>
      <c r="N173" s="6"/>
    </row>
    <row r="174" spans="1:14" ht="15.75">
      <c r="A174" s="28"/>
      <c r="B174" s="68" t="s">
        <v>121</v>
      </c>
      <c r="C174" s="123">
        <v>147</v>
      </c>
      <c r="D174" s="96">
        <f>C174/$C$177</f>
        <v>0.02035729123390112</v>
      </c>
      <c r="E174" s="123">
        <v>935</v>
      </c>
      <c r="F174" s="96">
        <f>E174/$E$177</f>
        <v>0.022300665442316406</v>
      </c>
      <c r="G174" s="120"/>
      <c r="H174" s="123">
        <v>274</v>
      </c>
      <c r="I174" s="96">
        <f>H174/$H$177</f>
        <v>0.009742222222222222</v>
      </c>
      <c r="J174" s="123">
        <v>156</v>
      </c>
      <c r="K174" s="96">
        <f>J174/$J$177</f>
        <v>0.007480579265368754</v>
      </c>
      <c r="L174" s="122"/>
      <c r="M174" s="113"/>
      <c r="N174" s="6"/>
    </row>
    <row r="175" spans="1:14" ht="15.75">
      <c r="A175" s="28"/>
      <c r="B175" s="68" t="s">
        <v>122</v>
      </c>
      <c r="C175" s="123">
        <v>114</v>
      </c>
      <c r="D175" s="96">
        <f>C175/$C$177</f>
        <v>0.01578728707935189</v>
      </c>
      <c r="E175" s="123">
        <v>709</v>
      </c>
      <c r="F175" s="96">
        <f>E175/$E$177</f>
        <v>0.016910344169628163</v>
      </c>
      <c r="G175" s="120"/>
      <c r="H175" s="123">
        <v>264</v>
      </c>
      <c r="I175" s="96">
        <f>H175/$H$177</f>
        <v>0.009386666666666666</v>
      </c>
      <c r="J175" s="123">
        <v>181</v>
      </c>
      <c r="K175" s="96">
        <f>J175/$J$177</f>
        <v>0.008679390045075286</v>
      </c>
      <c r="L175" s="122"/>
      <c r="M175" s="113"/>
      <c r="N175" s="6"/>
    </row>
    <row r="176" spans="1:16" ht="15.75">
      <c r="A176" s="28"/>
      <c r="B176" s="68" t="s">
        <v>123</v>
      </c>
      <c r="C176" s="123">
        <v>845</v>
      </c>
      <c r="D176" s="96">
        <f>C176/$C$177</f>
        <v>0.11701980335133638</v>
      </c>
      <c r="E176" s="123">
        <v>4758</v>
      </c>
      <c r="F176" s="96">
        <f>E176/$E$177</f>
        <v>0.11348295847544541</v>
      </c>
      <c r="G176" s="120"/>
      <c r="H176" s="123">
        <v>1744</v>
      </c>
      <c r="I176" s="96">
        <f>H176/$H$177</f>
        <v>0.06200888888888889</v>
      </c>
      <c r="J176" s="123">
        <v>1444</v>
      </c>
      <c r="K176" s="96">
        <f>J176/$J$177</f>
        <v>0.06924331063584924</v>
      </c>
      <c r="L176" s="122"/>
      <c r="M176" s="113"/>
      <c r="N176" s="6"/>
      <c r="P176" s="72"/>
    </row>
    <row r="177" spans="1:16" ht="15.75">
      <c r="A177" s="28"/>
      <c r="B177" s="68" t="s">
        <v>124</v>
      </c>
      <c r="C177" s="123">
        <f>SUM(C173:C176)</f>
        <v>7221</v>
      </c>
      <c r="D177" s="96">
        <f>SUM(D173:D176)</f>
        <v>1</v>
      </c>
      <c r="E177" s="123">
        <f>SUM(E173:E176)</f>
        <v>41927</v>
      </c>
      <c r="F177" s="96">
        <f>SUM(F173:F176)</f>
        <v>1</v>
      </c>
      <c r="G177" s="120"/>
      <c r="H177" s="123">
        <v>28125</v>
      </c>
      <c r="I177" s="96">
        <f>SUM(I173:I176)</f>
        <v>1</v>
      </c>
      <c r="J177" s="123">
        <f>SUM(J173:J176)</f>
        <v>20854</v>
      </c>
      <c r="K177" s="96">
        <f>SUM(K173:K176)</f>
        <v>1</v>
      </c>
      <c r="L177" s="122"/>
      <c r="M177" s="113"/>
      <c r="N177" s="6"/>
      <c r="P177" s="72"/>
    </row>
    <row r="178" spans="1:15" ht="15.75">
      <c r="A178" s="28"/>
      <c r="B178" s="68" t="s">
        <v>125</v>
      </c>
      <c r="C178" s="123">
        <v>3286</v>
      </c>
      <c r="D178" s="124"/>
      <c r="E178" s="123">
        <v>22207</v>
      </c>
      <c r="F178" s="124"/>
      <c r="G178" s="120"/>
      <c r="H178" s="123">
        <v>2504</v>
      </c>
      <c r="I178" s="124"/>
      <c r="J178" s="123">
        <v>3374</v>
      </c>
      <c r="K178" s="124"/>
      <c r="L178" s="122"/>
      <c r="M178" s="113"/>
      <c r="N178" s="6"/>
      <c r="O178" s="72"/>
    </row>
    <row r="179" spans="1:16" ht="15.75">
      <c r="A179" s="28"/>
      <c r="B179" s="68" t="s">
        <v>126</v>
      </c>
      <c r="C179" s="123">
        <f>SUM(C177:C178)</f>
        <v>10507</v>
      </c>
      <c r="D179" s="156"/>
      <c r="E179" s="123">
        <f>E178+E177</f>
        <v>64134</v>
      </c>
      <c r="F179" s="127"/>
      <c r="G179" s="156"/>
      <c r="H179" s="123">
        <f>SUM(H177:H178)</f>
        <v>30629</v>
      </c>
      <c r="I179" s="156"/>
      <c r="J179" s="123">
        <f>J178+J177</f>
        <v>24228</v>
      </c>
      <c r="K179" s="156"/>
      <c r="L179" s="156"/>
      <c r="M179" s="113"/>
      <c r="N179" s="6"/>
      <c r="P179" s="72"/>
    </row>
    <row r="180" spans="1:16" ht="15.75">
      <c r="A180" s="28"/>
      <c r="B180" s="68"/>
      <c r="C180" s="123"/>
      <c r="D180" s="127"/>
      <c r="E180" s="123"/>
      <c r="F180" s="127"/>
      <c r="G180" s="120"/>
      <c r="H180" s="123"/>
      <c r="I180" s="127"/>
      <c r="J180" s="123"/>
      <c r="K180" s="127"/>
      <c r="L180" s="122"/>
      <c r="M180" s="113"/>
      <c r="N180" s="6"/>
      <c r="P180" s="72"/>
    </row>
    <row r="181" spans="1:15" ht="15.75">
      <c r="A181" s="28"/>
      <c r="B181" s="68"/>
      <c r="C181" s="120"/>
      <c r="D181" s="119" t="s">
        <v>40</v>
      </c>
      <c r="E181" s="120"/>
      <c r="F181" s="121"/>
      <c r="G181" s="120"/>
      <c r="H181" s="119" t="s">
        <v>41</v>
      </c>
      <c r="I181" s="120"/>
      <c r="J181" s="121"/>
      <c r="K181" s="120"/>
      <c r="L181" s="122"/>
      <c r="M181" s="113"/>
      <c r="N181" s="6"/>
      <c r="O181" s="72"/>
    </row>
    <row r="182" spans="1:14" ht="15.75">
      <c r="A182" s="28"/>
      <c r="B182" s="156"/>
      <c r="C182" s="121" t="s">
        <v>141</v>
      </c>
      <c r="D182" s="120" t="s">
        <v>152</v>
      </c>
      <c r="E182" s="121" t="s">
        <v>157</v>
      </c>
      <c r="F182" s="120" t="s">
        <v>152</v>
      </c>
      <c r="G182" s="120"/>
      <c r="H182" s="121" t="s">
        <v>141</v>
      </c>
      <c r="I182" s="120" t="s">
        <v>152</v>
      </c>
      <c r="J182" s="121" t="s">
        <v>157</v>
      </c>
      <c r="K182" s="120" t="s">
        <v>152</v>
      </c>
      <c r="L182" s="122"/>
      <c r="M182" s="113"/>
      <c r="N182" s="6"/>
    </row>
    <row r="183" spans="1:15" ht="15.75">
      <c r="A183" s="28"/>
      <c r="B183" s="68" t="s">
        <v>120</v>
      </c>
      <c r="C183" s="123">
        <v>4439</v>
      </c>
      <c r="D183" s="96">
        <f>C183/C187</f>
        <v>0.9614468269439029</v>
      </c>
      <c r="E183" s="123">
        <v>86659</v>
      </c>
      <c r="F183" s="96">
        <f>E183/E187</f>
        <v>0.9626959352122377</v>
      </c>
      <c r="G183" s="120"/>
      <c r="H183" s="123">
        <v>9953</v>
      </c>
      <c r="I183" s="96">
        <f>H183/H187</f>
        <v>0.9888723298559364</v>
      </c>
      <c r="J183" s="123">
        <v>52718</v>
      </c>
      <c r="K183" s="96">
        <f>J183/J187</f>
        <v>0.9845550471565973</v>
      </c>
      <c r="L183" s="122"/>
      <c r="M183" s="113"/>
      <c r="N183" s="6"/>
      <c r="O183" s="72"/>
    </row>
    <row r="184" spans="1:14" ht="15.75">
      <c r="A184" s="28"/>
      <c r="B184" s="68" t="s">
        <v>121</v>
      </c>
      <c r="C184" s="123">
        <v>81</v>
      </c>
      <c r="D184" s="96">
        <f>C184/$C$187</f>
        <v>0.017543859649122806</v>
      </c>
      <c r="E184" s="123">
        <v>1453</v>
      </c>
      <c r="F184" s="96">
        <f>E184/$E$187</f>
        <v>0.016141395514180656</v>
      </c>
      <c r="G184" s="120"/>
      <c r="H184" s="123">
        <v>51</v>
      </c>
      <c r="I184" s="96">
        <f>H184/$H$187</f>
        <v>0.005067064083457526</v>
      </c>
      <c r="J184" s="123">
        <v>383</v>
      </c>
      <c r="K184" s="96">
        <f>J184/$J$187</f>
        <v>0.007152862078625455</v>
      </c>
      <c r="L184" s="122"/>
      <c r="M184" s="113"/>
      <c r="N184" s="6"/>
    </row>
    <row r="185" spans="1:14" ht="15.75">
      <c r="A185" s="28"/>
      <c r="B185" s="68" t="s">
        <v>122</v>
      </c>
      <c r="C185" s="123">
        <v>35</v>
      </c>
      <c r="D185" s="96">
        <f>C185/$C$187</f>
        <v>0.007580680095299978</v>
      </c>
      <c r="E185" s="123">
        <v>698</v>
      </c>
      <c r="F185" s="96">
        <f>E185/$E$187</f>
        <v>0.007754090893942255</v>
      </c>
      <c r="G185" s="120"/>
      <c r="H185" s="123">
        <v>17</v>
      </c>
      <c r="I185" s="96">
        <f>H185/$H$187</f>
        <v>0.0016890213611525087</v>
      </c>
      <c r="J185" s="123">
        <v>126</v>
      </c>
      <c r="K185" s="96">
        <f>J185/$J$187</f>
        <v>0.002353160892707069</v>
      </c>
      <c r="L185" s="122"/>
      <c r="M185" s="113"/>
      <c r="N185" s="6"/>
    </row>
    <row r="186" spans="1:14" ht="15.75">
      <c r="A186" s="28"/>
      <c r="B186" s="68" t="s">
        <v>123</v>
      </c>
      <c r="C186" s="123">
        <v>62</v>
      </c>
      <c r="D186" s="96">
        <f>C186/$C$187</f>
        <v>0.013428633311674248</v>
      </c>
      <c r="E186" s="123">
        <v>1207</v>
      </c>
      <c r="F186" s="96">
        <f>E186/$E$187</f>
        <v>0.0134085783796394</v>
      </c>
      <c r="G186" s="120"/>
      <c r="H186" s="123">
        <v>44</v>
      </c>
      <c r="I186" s="96">
        <f>H186/$H$187</f>
        <v>0.004371584699453552</v>
      </c>
      <c r="J186" s="123">
        <v>318</v>
      </c>
      <c r="K186" s="96">
        <f>J186/$J$187</f>
        <v>0.0059389298720702215</v>
      </c>
      <c r="L186" s="122"/>
      <c r="M186" s="113"/>
      <c r="N186" s="6"/>
    </row>
    <row r="187" spans="1:14" ht="15.75">
      <c r="A187" s="28"/>
      <c r="B187" s="68" t="str">
        <f>B177</f>
        <v>Total Performing  Assets</v>
      </c>
      <c r="C187" s="123">
        <f>SUM(C183:C186)</f>
        <v>4617</v>
      </c>
      <c r="D187" s="96">
        <f>SUM(D183:D186)</f>
        <v>1</v>
      </c>
      <c r="E187" s="123">
        <f>SUM(E183:E186)</f>
        <v>90017</v>
      </c>
      <c r="F187" s="96">
        <f>SUM(F183:F186)</f>
        <v>1.0000000000000002</v>
      </c>
      <c r="G187" s="120"/>
      <c r="H187" s="123">
        <f>SUM(H183:H186)</f>
        <v>10065</v>
      </c>
      <c r="I187" s="96">
        <f>SUM(I183:I186)</f>
        <v>0.9999999999999999</v>
      </c>
      <c r="J187" s="123">
        <f>SUM(J183:J186)</f>
        <v>53545</v>
      </c>
      <c r="K187" s="96">
        <f>SUM(K183:K186)</f>
        <v>1</v>
      </c>
      <c r="L187" s="122"/>
      <c r="M187" s="113"/>
      <c r="N187" s="6"/>
    </row>
    <row r="188" spans="1:14" ht="15.75">
      <c r="A188" s="28"/>
      <c r="B188" s="68" t="s">
        <v>125</v>
      </c>
      <c r="C188" s="123">
        <v>2</v>
      </c>
      <c r="D188" s="126"/>
      <c r="E188" s="123">
        <v>9</v>
      </c>
      <c r="F188" s="124"/>
      <c r="G188" s="120"/>
      <c r="H188" s="123">
        <v>17</v>
      </c>
      <c r="I188" s="126"/>
      <c r="J188" s="123">
        <v>152</v>
      </c>
      <c r="K188" s="126"/>
      <c r="L188" s="122"/>
      <c r="M188" s="113"/>
      <c r="N188" s="6"/>
    </row>
    <row r="189" spans="1:15" ht="15.75">
      <c r="A189" s="28"/>
      <c r="B189" s="68" t="s">
        <v>126</v>
      </c>
      <c r="C189" s="123">
        <f>SUM(C187:C188)</f>
        <v>4619</v>
      </c>
      <c r="D189" s="156"/>
      <c r="E189" s="123">
        <f>E188+E187</f>
        <v>90026</v>
      </c>
      <c r="F189" s="127"/>
      <c r="G189" s="156"/>
      <c r="H189" s="123">
        <f>SUM(H187:H188)</f>
        <v>10082</v>
      </c>
      <c r="I189" s="156"/>
      <c r="J189" s="123">
        <f>J188+J187</f>
        <v>53697</v>
      </c>
      <c r="K189" s="156"/>
      <c r="L189" s="156"/>
      <c r="M189" s="156"/>
      <c r="N189" s="6"/>
      <c r="O189" s="72"/>
    </row>
    <row r="190" spans="1:14" ht="15.75">
      <c r="A190" s="28"/>
      <c r="B190" s="68"/>
      <c r="C190" s="120"/>
      <c r="D190" s="121"/>
      <c r="E190" s="120"/>
      <c r="F190" s="121"/>
      <c r="G190" s="120"/>
      <c r="H190" s="128"/>
      <c r="I190" s="120"/>
      <c r="J190" s="123"/>
      <c r="K190" s="120"/>
      <c r="L190" s="122"/>
      <c r="M190" s="113"/>
      <c r="N190" s="6"/>
    </row>
    <row r="191" spans="1:14" ht="15.75">
      <c r="A191" s="28"/>
      <c r="B191" s="68" t="s">
        <v>126</v>
      </c>
      <c r="C191" s="120"/>
      <c r="D191" s="121"/>
      <c r="E191" s="120"/>
      <c r="F191" s="121"/>
      <c r="G191" s="120"/>
      <c r="H191" s="128"/>
      <c r="I191" s="126"/>
      <c r="J191" s="123">
        <f>E179+J179+E189+J189</f>
        <v>232085</v>
      </c>
      <c r="K191" s="127"/>
      <c r="L191" s="122"/>
      <c r="M191" s="113"/>
      <c r="N191" s="6"/>
    </row>
    <row r="192" spans="1:14" ht="15.75">
      <c r="A192" s="28"/>
      <c r="B192" s="68"/>
      <c r="C192" s="120"/>
      <c r="D192" s="121"/>
      <c r="E192" s="120"/>
      <c r="F192" s="121"/>
      <c r="G192" s="120"/>
      <c r="H192" s="121"/>
      <c r="I192" s="120"/>
      <c r="J192" s="123"/>
      <c r="K192" s="126"/>
      <c r="L192" s="122"/>
      <c r="M192" s="113"/>
      <c r="N192" s="6"/>
    </row>
    <row r="193" spans="1:14" ht="15.75">
      <c r="A193" s="28"/>
      <c r="B193" s="129" t="s">
        <v>127</v>
      </c>
      <c r="C193" s="120"/>
      <c r="D193" s="121"/>
      <c r="E193" s="120"/>
      <c r="F193" s="121"/>
      <c r="G193" s="120"/>
      <c r="H193" s="121"/>
      <c r="I193" s="120"/>
      <c r="J193" s="123"/>
      <c r="K193" s="120"/>
      <c r="L193" s="122"/>
      <c r="M193" s="113"/>
      <c r="N193" s="6"/>
    </row>
    <row r="194" spans="1:14" ht="15.75">
      <c r="A194" s="28"/>
      <c r="B194" s="68"/>
      <c r="C194" s="120"/>
      <c r="D194" s="121"/>
      <c r="E194" s="120"/>
      <c r="F194" s="121"/>
      <c r="G194" s="120"/>
      <c r="H194" s="121"/>
      <c r="I194" s="120"/>
      <c r="J194" s="123"/>
      <c r="K194" s="120"/>
      <c r="L194" s="122"/>
      <c r="M194" s="113"/>
      <c r="N194" s="6"/>
    </row>
    <row r="195" spans="1:14" ht="15.75">
      <c r="A195" s="28"/>
      <c r="B195" s="68" t="s">
        <v>128</v>
      </c>
      <c r="C195" s="120"/>
      <c r="D195" s="121"/>
      <c r="E195" s="120"/>
      <c r="F195" s="121"/>
      <c r="G195" s="120"/>
      <c r="H195" s="121"/>
      <c r="I195" s="120"/>
      <c r="J195" s="123">
        <f>+E177+J177+E187+J187</f>
        <v>206343</v>
      </c>
      <c r="K195" s="120"/>
      <c r="L195" s="122"/>
      <c r="M195" s="113"/>
      <c r="N195" s="6"/>
    </row>
    <row r="196" spans="1:14" ht="15.75">
      <c r="A196" s="28"/>
      <c r="B196" s="68" t="s">
        <v>129</v>
      </c>
      <c r="C196" s="120"/>
      <c r="D196" s="121"/>
      <c r="E196" s="120"/>
      <c r="F196" s="121"/>
      <c r="G196" s="120"/>
      <c r="H196" s="121"/>
      <c r="I196" s="120"/>
      <c r="J196" s="123">
        <f>L93</f>
        <v>46446</v>
      </c>
      <c r="K196" s="120"/>
      <c r="L196" s="122"/>
      <c r="M196" s="113"/>
      <c r="N196" s="6"/>
    </row>
    <row r="197" spans="1:14" ht="15.75">
      <c r="A197" s="28"/>
      <c r="B197" s="68" t="s">
        <v>130</v>
      </c>
      <c r="C197" s="120"/>
      <c r="D197" s="121"/>
      <c r="E197" s="120"/>
      <c r="F197" s="121"/>
      <c r="G197" s="120"/>
      <c r="H197" s="121"/>
      <c r="I197" s="120"/>
      <c r="J197" s="123">
        <v>-1789</v>
      </c>
      <c r="K197" s="120"/>
      <c r="L197" s="122"/>
      <c r="M197" s="113"/>
      <c r="N197" s="6"/>
    </row>
    <row r="198" spans="1:14" ht="15.75">
      <c r="A198" s="28"/>
      <c r="B198" s="68" t="s">
        <v>131</v>
      </c>
      <c r="C198" s="120"/>
      <c r="D198" s="121"/>
      <c r="E198" s="120"/>
      <c r="F198" s="121"/>
      <c r="G198" s="120"/>
      <c r="H198" s="121"/>
      <c r="I198" s="120"/>
      <c r="J198" s="123">
        <f>SUM(J195:J197)</f>
        <v>251000</v>
      </c>
      <c r="K198" s="120"/>
      <c r="L198" s="122"/>
      <c r="M198" s="113"/>
      <c r="N198" s="6"/>
    </row>
    <row r="199" spans="1:14" ht="15.75">
      <c r="A199" s="28"/>
      <c r="B199" s="68"/>
      <c r="C199" s="120"/>
      <c r="D199" s="121"/>
      <c r="E199" s="120"/>
      <c r="F199" s="121"/>
      <c r="G199" s="120"/>
      <c r="H199" s="121"/>
      <c r="I199" s="120"/>
      <c r="J199" s="123"/>
      <c r="K199" s="120"/>
      <c r="L199" s="122"/>
      <c r="M199" s="113"/>
      <c r="N199" s="6"/>
    </row>
    <row r="200" spans="1:14" ht="15.75">
      <c r="A200" s="28"/>
      <c r="B200" s="68" t="s">
        <v>132</v>
      </c>
      <c r="C200" s="120"/>
      <c r="D200" s="121"/>
      <c r="E200" s="120"/>
      <c r="F200" s="121"/>
      <c r="G200" s="120"/>
      <c r="H200" s="121"/>
      <c r="I200" s="120"/>
      <c r="J200" s="123">
        <f>L30</f>
        <v>251000</v>
      </c>
      <c r="K200" s="120"/>
      <c r="L200" s="122"/>
      <c r="M200" s="113"/>
      <c r="N200" s="6"/>
    </row>
    <row r="201" spans="1:14" ht="15.75">
      <c r="A201" s="28"/>
      <c r="B201" s="68"/>
      <c r="C201" s="120"/>
      <c r="D201" s="121"/>
      <c r="E201" s="120"/>
      <c r="F201" s="121"/>
      <c r="G201" s="120"/>
      <c r="H201" s="121"/>
      <c r="I201" s="120"/>
      <c r="J201" s="123"/>
      <c r="K201" s="120"/>
      <c r="L201" s="122"/>
      <c r="M201" s="113"/>
      <c r="N201" s="6"/>
    </row>
    <row r="202" spans="1:14" ht="15.75">
      <c r="A202" s="28"/>
      <c r="B202" s="68" t="s">
        <v>133</v>
      </c>
      <c r="C202" s="120"/>
      <c r="D202" s="121"/>
      <c r="E202" s="120"/>
      <c r="F202" s="121"/>
      <c r="G202" s="120"/>
      <c r="H202" s="121"/>
      <c r="I202" s="120"/>
      <c r="J202" s="123">
        <f>J198/J200</f>
        <v>1</v>
      </c>
      <c r="K202" s="120"/>
      <c r="L202" s="122"/>
      <c r="M202" s="113"/>
      <c r="N202" s="6"/>
    </row>
    <row r="203" spans="1:14" ht="15.75">
      <c r="A203" s="28"/>
      <c r="B203" s="29"/>
      <c r="C203" s="29"/>
      <c r="D203" s="36"/>
      <c r="E203" s="29"/>
      <c r="F203" s="29"/>
      <c r="G203" s="29"/>
      <c r="H203" s="66"/>
      <c r="I203" s="130"/>
      <c r="J203" s="67"/>
      <c r="K203" s="130"/>
      <c r="L203" s="99"/>
      <c r="M203" s="29"/>
      <c r="N203" s="6"/>
    </row>
    <row r="204" spans="1:14" ht="15.75">
      <c r="A204" s="131"/>
      <c r="B204" s="33" t="s">
        <v>134</v>
      </c>
      <c r="C204" s="132"/>
      <c r="D204" s="120" t="s">
        <v>153</v>
      </c>
      <c r="E204" s="122"/>
      <c r="F204" s="33" t="s">
        <v>166</v>
      </c>
      <c r="G204" s="133"/>
      <c r="H204" s="133"/>
      <c r="I204" s="133"/>
      <c r="J204" s="134"/>
      <c r="K204" s="32"/>
      <c r="L204" s="32"/>
      <c r="M204" s="32"/>
      <c r="N204" s="6"/>
    </row>
    <row r="205" spans="1:14" ht="15.75">
      <c r="A205" s="135"/>
      <c r="B205" s="15" t="s">
        <v>135</v>
      </c>
      <c r="C205" s="136"/>
      <c r="D205" s="137" t="s">
        <v>154</v>
      </c>
      <c r="E205" s="15"/>
      <c r="F205" s="15" t="s">
        <v>167</v>
      </c>
      <c r="G205" s="136"/>
      <c r="H205" s="136"/>
      <c r="I205" s="14"/>
      <c r="J205" s="14"/>
      <c r="K205" s="14"/>
      <c r="L205" s="14"/>
      <c r="M205" s="14"/>
      <c r="N205" s="6"/>
    </row>
    <row r="206" spans="1:14" ht="15.75">
      <c r="A206" s="135"/>
      <c r="B206" s="15" t="s">
        <v>136</v>
      </c>
      <c r="C206" s="136"/>
      <c r="D206" s="137" t="s">
        <v>155</v>
      </c>
      <c r="E206" s="15"/>
      <c r="F206" s="15" t="s">
        <v>168</v>
      </c>
      <c r="G206" s="136"/>
      <c r="H206" s="136"/>
      <c r="I206" s="14"/>
      <c r="J206" s="14"/>
      <c r="K206" s="14"/>
      <c r="L206" s="14"/>
      <c r="M206" s="14"/>
      <c r="N206" s="6"/>
    </row>
    <row r="207" spans="1:14" ht="15.75">
      <c r="A207" s="135"/>
      <c r="B207" s="15"/>
      <c r="C207" s="136"/>
      <c r="D207" s="137"/>
      <c r="E207" s="15"/>
      <c r="F207" s="15"/>
      <c r="G207" s="136"/>
      <c r="H207" s="136"/>
      <c r="I207" s="14"/>
      <c r="J207" s="14"/>
      <c r="K207" s="14"/>
      <c r="L207" s="14"/>
      <c r="M207" s="14"/>
      <c r="N207" s="6"/>
    </row>
    <row r="208" spans="1:14" ht="15.75">
      <c r="A208" s="135"/>
      <c r="B208" s="15"/>
      <c r="C208" s="136"/>
      <c r="D208" s="137"/>
      <c r="E208" s="15"/>
      <c r="F208" s="15"/>
      <c r="G208" s="136"/>
      <c r="H208" s="136"/>
      <c r="I208" s="14"/>
      <c r="J208" s="14"/>
      <c r="K208" s="14"/>
      <c r="L208" s="14"/>
      <c r="M208" s="14"/>
      <c r="N208" s="6"/>
    </row>
    <row r="209" spans="1:14" ht="15.75">
      <c r="A209" s="135"/>
      <c r="B209" s="15" t="str">
        <f>B148</f>
        <v>PPAF1 INVESTOR REPORT QUARTER ENDING NOVEMBER 2003</v>
      </c>
      <c r="C209" s="136"/>
      <c r="D209" s="137"/>
      <c r="E209" s="15"/>
      <c r="F209" s="15"/>
      <c r="G209" s="136"/>
      <c r="H209" s="136"/>
      <c r="I209" s="14"/>
      <c r="J209" s="14"/>
      <c r="K209" s="14"/>
      <c r="L209" s="14"/>
      <c r="M209" s="14"/>
      <c r="N209" s="6"/>
    </row>
    <row r="210" spans="1:13" ht="15">
      <c r="A210" s="138"/>
      <c r="B210" s="138"/>
      <c r="C210" s="138"/>
      <c r="D210" s="138"/>
      <c r="E210" s="138"/>
      <c r="F210" s="138"/>
      <c r="G210" s="138"/>
      <c r="H210" s="138"/>
      <c r="I210" s="138"/>
      <c r="J210" s="138"/>
      <c r="K210" s="138"/>
      <c r="L210" s="138"/>
      <c r="M210" s="138"/>
    </row>
  </sheetData>
  <printOptions horizontalCentered="1" verticalCentered="1"/>
  <pageMargins left="0.2362204724409449" right="0.4330708661417323" top="0.2362204724409449" bottom="0.7480314960629921" header="0" footer="0"/>
  <pageSetup horizontalDpi="600" verticalDpi="600" orientation="landscape" paperSize="9" scale="50" r:id="rId2"/>
  <rowBreaks count="4" manualBreakCount="4">
    <brk id="50" max="13" man="1"/>
    <brk id="97" max="13" man="1"/>
    <brk id="148" max="13" man="1"/>
    <brk id="210" max="0" man="1"/>
  </rowBreaks>
  <drawing r:id="rId1"/>
</worksheet>
</file>

<file path=xl/worksheets/sheet11.xml><?xml version="1.0" encoding="utf-8"?>
<worksheet xmlns="http://schemas.openxmlformats.org/spreadsheetml/2006/main" xmlns:r="http://schemas.openxmlformats.org/officeDocument/2006/relationships">
  <dimension ref="A1:P210"/>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1.6640625" style="1" customWidth="1"/>
    <col min="3" max="3" width="16.6640625" style="1" customWidth="1"/>
    <col min="4" max="4" width="14.6640625" style="1" customWidth="1"/>
    <col min="5" max="5" width="12.4453125" style="1" customWidth="1"/>
    <col min="6" max="6" width="14.6640625" style="1" customWidth="1"/>
    <col min="7" max="7" width="7.6640625" style="1" customWidth="1"/>
    <col min="8" max="8" width="13.6640625" style="1" customWidth="1"/>
    <col min="9" max="9" width="9.6640625" style="1" customWidth="1"/>
    <col min="10" max="10" width="13.6640625" style="1" customWidth="1"/>
    <col min="11" max="11" width="8.6640625" style="1" customWidth="1"/>
    <col min="12" max="12" width="15.6640625" style="1" customWidth="1"/>
    <col min="13" max="13" width="11.886718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8"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2" t="s">
        <v>2</v>
      </c>
      <c r="C5" s="13"/>
      <c r="D5" s="9"/>
      <c r="E5" s="9"/>
      <c r="F5" s="9"/>
      <c r="G5" s="9"/>
      <c r="H5" s="9"/>
      <c r="I5" s="9"/>
      <c r="J5" s="9"/>
      <c r="K5" s="9"/>
      <c r="L5" s="9"/>
      <c r="M5" s="9"/>
      <c r="N5" s="6"/>
    </row>
    <row r="6" spans="1:14" ht="15.75">
      <c r="A6" s="7"/>
      <c r="B6" s="12" t="s">
        <v>3</v>
      </c>
      <c r="C6" s="13"/>
      <c r="D6" s="9"/>
      <c r="E6" s="9"/>
      <c r="F6" s="9"/>
      <c r="G6" s="9"/>
      <c r="H6" s="9"/>
      <c r="I6" s="9"/>
      <c r="J6" s="9"/>
      <c r="K6" s="9"/>
      <c r="L6" s="9"/>
      <c r="M6" s="9"/>
      <c r="N6" s="6"/>
    </row>
    <row r="7" spans="1:14" ht="15.75">
      <c r="A7" s="7"/>
      <c r="B7" s="12" t="s">
        <v>4</v>
      </c>
      <c r="C7" s="13"/>
      <c r="D7" s="9"/>
      <c r="E7" s="9"/>
      <c r="F7" s="9"/>
      <c r="G7" s="9"/>
      <c r="H7" s="9"/>
      <c r="I7" s="9"/>
      <c r="J7" s="9"/>
      <c r="K7" s="9"/>
      <c r="L7" s="9"/>
      <c r="M7" s="9"/>
      <c r="N7" s="6"/>
    </row>
    <row r="8" spans="1:14" ht="15.75">
      <c r="A8" s="7"/>
      <c r="B8" s="14"/>
      <c r="C8" s="13"/>
      <c r="D8" s="9"/>
      <c r="E8" s="9"/>
      <c r="F8" s="9"/>
      <c r="G8" s="9"/>
      <c r="H8" s="9"/>
      <c r="I8" s="9"/>
      <c r="J8" s="9"/>
      <c r="K8" s="9"/>
      <c r="L8" s="9"/>
      <c r="M8" s="9"/>
      <c r="N8" s="6"/>
    </row>
    <row r="9" spans="1:14" ht="15.75">
      <c r="A9" s="7"/>
      <c r="B9" s="13"/>
      <c r="C9" s="13"/>
      <c r="D9" s="15"/>
      <c r="E9" s="15"/>
      <c r="F9" s="9"/>
      <c r="G9" s="9"/>
      <c r="H9" s="9"/>
      <c r="I9" s="9"/>
      <c r="J9" s="9"/>
      <c r="K9" s="9"/>
      <c r="L9" s="9"/>
      <c r="M9" s="9"/>
      <c r="N9" s="6"/>
    </row>
    <row r="10" spans="1:14" ht="15.75">
      <c r="A10" s="7"/>
      <c r="B10" s="15" t="s">
        <v>5</v>
      </c>
      <c r="C10" s="15"/>
      <c r="D10" s="9"/>
      <c r="E10" s="9"/>
      <c r="F10" s="9"/>
      <c r="G10" s="9"/>
      <c r="H10" s="9"/>
      <c r="I10" s="9"/>
      <c r="J10" s="9"/>
      <c r="K10" s="9"/>
      <c r="L10" s="9"/>
      <c r="M10" s="9"/>
      <c r="N10" s="6"/>
    </row>
    <row r="11" spans="1:14" ht="15.75">
      <c r="A11" s="7"/>
      <c r="B11" s="15"/>
      <c r="C11" s="15"/>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6" t="s">
        <v>6</v>
      </c>
      <c r="C13" s="16"/>
      <c r="D13" s="17"/>
      <c r="E13" s="17"/>
      <c r="F13" s="17"/>
      <c r="G13" s="17"/>
      <c r="H13" s="17"/>
      <c r="I13" s="17"/>
      <c r="J13" s="17"/>
      <c r="K13" s="17"/>
      <c r="L13" s="18" t="s">
        <v>186</v>
      </c>
      <c r="M13" s="9"/>
      <c r="N13" s="6"/>
    </row>
    <row r="14" spans="1:14" ht="15.75">
      <c r="A14" s="7"/>
      <c r="B14" s="16" t="s">
        <v>7</v>
      </c>
      <c r="C14" s="16"/>
      <c r="D14" s="19" t="s">
        <v>140</v>
      </c>
      <c r="E14" s="20">
        <v>0.348</v>
      </c>
      <c r="F14" s="19" t="s">
        <v>150</v>
      </c>
      <c r="G14" s="20">
        <v>0.229</v>
      </c>
      <c r="H14" s="19" t="s">
        <v>156</v>
      </c>
      <c r="I14" s="20">
        <v>0.098</v>
      </c>
      <c r="J14" s="19" t="s">
        <v>165</v>
      </c>
      <c r="K14" s="20">
        <v>0.1</v>
      </c>
      <c r="L14" s="18"/>
      <c r="M14" s="17"/>
      <c r="N14" s="6"/>
    </row>
    <row r="15" spans="1:14" ht="15.75">
      <c r="A15" s="7"/>
      <c r="B15" s="16" t="s">
        <v>8</v>
      </c>
      <c r="C15" s="16"/>
      <c r="D15" s="19" t="s">
        <v>140</v>
      </c>
      <c r="E15" s="20">
        <f>E177/(J195+$L$93)</f>
        <v>0.14443270870172356</v>
      </c>
      <c r="F15" s="19" t="s">
        <v>150</v>
      </c>
      <c r="G15" s="20">
        <f>J177/(J195+$L$93)</f>
        <v>0.08656626672837821</v>
      </c>
      <c r="H15" s="19" t="s">
        <v>156</v>
      </c>
      <c r="I15" s="20">
        <f>E187/(J195+$L$93)</f>
        <v>0.3769586493083164</v>
      </c>
      <c r="J15" s="19" t="s">
        <v>165</v>
      </c>
      <c r="K15" s="20">
        <f>J187/(J195+$L$93)</f>
        <v>0.20870765737433195</v>
      </c>
      <c r="L15" s="18"/>
      <c r="M15" s="17"/>
      <c r="N15" s="6"/>
    </row>
    <row r="16" spans="1:14" ht="15.75">
      <c r="A16" s="7"/>
      <c r="B16" s="16" t="s">
        <v>9</v>
      </c>
      <c r="C16" s="16"/>
      <c r="D16" s="17"/>
      <c r="E16" s="17"/>
      <c r="F16" s="17"/>
      <c r="G16" s="17"/>
      <c r="H16" s="17"/>
      <c r="I16" s="17"/>
      <c r="J16" s="17"/>
      <c r="K16" s="17"/>
      <c r="L16" s="178">
        <v>37070</v>
      </c>
      <c r="M16" s="9"/>
      <c r="N16" s="6"/>
    </row>
    <row r="17" spans="1:14" ht="15.75">
      <c r="A17" s="7"/>
      <c r="B17" s="16" t="s">
        <v>10</v>
      </c>
      <c r="C17" s="16"/>
      <c r="D17" s="17"/>
      <c r="E17" s="17"/>
      <c r="F17" s="17"/>
      <c r="G17" s="17"/>
      <c r="H17" s="17"/>
      <c r="I17" s="17"/>
      <c r="J17" s="17"/>
      <c r="K17" s="17"/>
      <c r="L17" s="21">
        <v>38062</v>
      </c>
      <c r="M17" s="9"/>
      <c r="N17" s="6"/>
    </row>
    <row r="18" spans="1:14" ht="15.75">
      <c r="A18" s="7"/>
      <c r="B18" s="9"/>
      <c r="C18" s="9"/>
      <c r="D18" s="9"/>
      <c r="E18" s="9"/>
      <c r="F18" s="9"/>
      <c r="G18" s="9"/>
      <c r="H18" s="9"/>
      <c r="I18" s="9"/>
      <c r="J18" s="9"/>
      <c r="K18" s="9"/>
      <c r="L18" s="22"/>
      <c r="M18" s="9"/>
      <c r="N18" s="6"/>
    </row>
    <row r="19" spans="1:14" ht="15.75">
      <c r="A19" s="7"/>
      <c r="B19" s="23" t="s">
        <v>11</v>
      </c>
      <c r="C19" s="9"/>
      <c r="D19" s="9"/>
      <c r="E19" s="9"/>
      <c r="F19" s="9"/>
      <c r="G19" s="9"/>
      <c r="H19" s="9"/>
      <c r="I19" s="9"/>
      <c r="J19" s="22"/>
      <c r="K19" s="9"/>
      <c r="L19" s="14"/>
      <c r="M19" s="9"/>
      <c r="N19" s="6"/>
    </row>
    <row r="20" spans="1:14" ht="15.75">
      <c r="A20" s="7"/>
      <c r="B20" s="9"/>
      <c r="C20" s="9"/>
      <c r="D20" s="9"/>
      <c r="E20" s="9"/>
      <c r="F20" s="9"/>
      <c r="G20" s="9"/>
      <c r="H20" s="9"/>
      <c r="I20" s="9"/>
      <c r="J20" s="9"/>
      <c r="K20" s="9"/>
      <c r="L20" s="24"/>
      <c r="M20" s="9"/>
      <c r="N20" s="6"/>
    </row>
    <row r="21" spans="1:14" ht="15.75">
      <c r="A21" s="7"/>
      <c r="B21" s="9"/>
      <c r="C21" s="159" t="s">
        <v>137</v>
      </c>
      <c r="D21" s="161" t="s">
        <v>142</v>
      </c>
      <c r="E21" s="161"/>
      <c r="F21" s="161" t="s">
        <v>158</v>
      </c>
      <c r="G21" s="161"/>
      <c r="H21" s="161" t="s">
        <v>169</v>
      </c>
      <c r="I21" s="26"/>
      <c r="J21" s="27"/>
      <c r="K21" s="14"/>
      <c r="L21" s="14"/>
      <c r="M21" s="9"/>
      <c r="N21" s="6"/>
    </row>
    <row r="22" spans="1:14" ht="15.75">
      <c r="A22" s="28"/>
      <c r="B22" s="29" t="s">
        <v>12</v>
      </c>
      <c r="C22" s="160" t="s">
        <v>138</v>
      </c>
      <c r="D22" s="31" t="s">
        <v>143</v>
      </c>
      <c r="E22" s="31"/>
      <c r="F22" s="31" t="s">
        <v>159</v>
      </c>
      <c r="G22" s="31"/>
      <c r="H22" s="31" t="s">
        <v>170</v>
      </c>
      <c r="I22" s="31"/>
      <c r="J22" s="31"/>
      <c r="K22" s="32"/>
      <c r="L22" s="32"/>
      <c r="M22" s="29"/>
      <c r="N22" s="6"/>
    </row>
    <row r="23" spans="1:14" ht="15.75">
      <c r="A23" s="28"/>
      <c r="B23" s="29" t="s">
        <v>13</v>
      </c>
      <c r="C23" s="30"/>
      <c r="D23" s="31" t="s">
        <v>144</v>
      </c>
      <c r="E23" s="31"/>
      <c r="F23" s="31" t="s">
        <v>160</v>
      </c>
      <c r="G23" s="31"/>
      <c r="H23" s="31" t="s">
        <v>171</v>
      </c>
      <c r="I23" s="31"/>
      <c r="J23" s="31"/>
      <c r="K23" s="32"/>
      <c r="L23" s="32"/>
      <c r="M23" s="29"/>
      <c r="N23" s="6"/>
    </row>
    <row r="24" spans="1:14" ht="15.75">
      <c r="A24" s="28"/>
      <c r="B24" s="33" t="s">
        <v>14</v>
      </c>
      <c r="C24" s="33"/>
      <c r="D24" s="34" t="s">
        <v>143</v>
      </c>
      <c r="E24" s="34"/>
      <c r="F24" s="34" t="s">
        <v>159</v>
      </c>
      <c r="G24" s="34"/>
      <c r="H24" s="34" t="s">
        <v>170</v>
      </c>
      <c r="I24" s="34"/>
      <c r="J24" s="34"/>
      <c r="K24" s="35"/>
      <c r="L24" s="32"/>
      <c r="M24" s="29"/>
      <c r="N24" s="6"/>
    </row>
    <row r="25" spans="1:14" ht="15.75">
      <c r="A25" s="28"/>
      <c r="B25" s="33" t="s">
        <v>15</v>
      </c>
      <c r="C25" s="33"/>
      <c r="D25" s="34" t="s">
        <v>144</v>
      </c>
      <c r="E25" s="34"/>
      <c r="F25" s="34" t="s">
        <v>160</v>
      </c>
      <c r="G25" s="34"/>
      <c r="H25" s="34" t="s">
        <v>171</v>
      </c>
      <c r="I25" s="34"/>
      <c r="J25" s="34"/>
      <c r="K25" s="35"/>
      <c r="L25" s="32"/>
      <c r="M25" s="29"/>
      <c r="N25" s="6"/>
    </row>
    <row r="26" spans="1:14" ht="15.75">
      <c r="A26" s="28"/>
      <c r="B26" s="29" t="s">
        <v>16</v>
      </c>
      <c r="C26" s="29"/>
      <c r="D26" s="36" t="s">
        <v>145</v>
      </c>
      <c r="E26" s="31"/>
      <c r="F26" s="36" t="s">
        <v>161</v>
      </c>
      <c r="G26" s="31"/>
      <c r="H26" s="36" t="s">
        <v>172</v>
      </c>
      <c r="I26" s="31"/>
      <c r="J26" s="36"/>
      <c r="K26" s="32"/>
      <c r="L26" s="32"/>
      <c r="M26" s="29"/>
      <c r="N26" s="6"/>
    </row>
    <row r="27" spans="1:14" ht="15.75">
      <c r="A27" s="28"/>
      <c r="B27" s="29"/>
      <c r="C27" s="29"/>
      <c r="D27" s="29"/>
      <c r="E27" s="31"/>
      <c r="F27" s="31"/>
      <c r="G27" s="31"/>
      <c r="H27" s="31"/>
      <c r="I27" s="31"/>
      <c r="J27" s="31"/>
      <c r="K27" s="32"/>
      <c r="L27" s="32"/>
      <c r="M27" s="29"/>
      <c r="N27" s="6"/>
    </row>
    <row r="28" spans="1:14" ht="15.75">
      <c r="A28" s="28"/>
      <c r="B28" s="29" t="s">
        <v>17</v>
      </c>
      <c r="C28" s="29"/>
      <c r="D28" s="37">
        <v>178210</v>
      </c>
      <c r="E28" s="38"/>
      <c r="F28" s="37">
        <v>51450</v>
      </c>
      <c r="G28" s="37"/>
      <c r="H28" s="37">
        <v>21340</v>
      </c>
      <c r="I28" s="37"/>
      <c r="J28" s="37"/>
      <c r="K28" s="39"/>
      <c r="L28" s="37">
        <f>J28+H28+F28+D28</f>
        <v>251000</v>
      </c>
      <c r="M28" s="40"/>
      <c r="N28" s="6"/>
    </row>
    <row r="29" spans="1:14" ht="15.75">
      <c r="A29" s="28"/>
      <c r="B29" s="29" t="s">
        <v>18</v>
      </c>
      <c r="C29" s="44">
        <v>1</v>
      </c>
      <c r="D29" s="37">
        <v>178210</v>
      </c>
      <c r="E29" s="38"/>
      <c r="F29" s="37">
        <v>51450</v>
      </c>
      <c r="G29" s="37"/>
      <c r="H29" s="37">
        <v>21340</v>
      </c>
      <c r="I29" s="42"/>
      <c r="J29" s="37"/>
      <c r="K29" s="39"/>
      <c r="L29" s="37">
        <f>J29+H29+F29+D29</f>
        <v>251000</v>
      </c>
      <c r="M29" s="40"/>
      <c r="N29" s="6"/>
    </row>
    <row r="30" spans="1:14" ht="15.75">
      <c r="A30" s="43"/>
      <c r="B30" s="33" t="s">
        <v>19</v>
      </c>
      <c r="C30" s="44">
        <v>1</v>
      </c>
      <c r="D30" s="45">
        <v>178210</v>
      </c>
      <c r="E30" s="46"/>
      <c r="F30" s="45">
        <v>51450</v>
      </c>
      <c r="G30" s="45"/>
      <c r="H30" s="45">
        <v>21340</v>
      </c>
      <c r="I30" s="45"/>
      <c r="J30" s="45"/>
      <c r="K30" s="47"/>
      <c r="L30" s="45">
        <f>J30+H30+F30+D30</f>
        <v>251000</v>
      </c>
      <c r="M30" s="29"/>
      <c r="N30" s="6"/>
    </row>
    <row r="31" spans="1:14" ht="15.75">
      <c r="A31" s="28"/>
      <c r="B31" s="29" t="s">
        <v>20</v>
      </c>
      <c r="C31" s="155"/>
      <c r="D31" s="36" t="s">
        <v>146</v>
      </c>
      <c r="E31" s="29"/>
      <c r="F31" s="36" t="s">
        <v>162</v>
      </c>
      <c r="G31" s="36"/>
      <c r="H31" s="36" t="s">
        <v>173</v>
      </c>
      <c r="I31" s="36"/>
      <c r="J31" s="36"/>
      <c r="K31" s="32"/>
      <c r="L31" s="32"/>
      <c r="M31" s="29"/>
      <c r="N31" s="6"/>
    </row>
    <row r="32" spans="1:14" ht="15.75">
      <c r="A32" s="28"/>
      <c r="B32" s="29" t="s">
        <v>21</v>
      </c>
      <c r="C32" s="155"/>
      <c r="D32" s="49">
        <v>0.0431125</v>
      </c>
      <c r="E32" s="50"/>
      <c r="F32" s="49">
        <v>0.0487125</v>
      </c>
      <c r="G32" s="49"/>
      <c r="H32" s="49">
        <v>0.0627125</v>
      </c>
      <c r="I32" s="51"/>
      <c r="J32" s="49"/>
      <c r="K32" s="32"/>
      <c r="L32" s="51">
        <f>SUMPRODUCT(D32:J32,D30:J30)/L30</f>
        <v>0.04592677888446216</v>
      </c>
      <c r="M32" s="29"/>
      <c r="N32" s="6"/>
    </row>
    <row r="33" spans="1:14" ht="15.75">
      <c r="A33" s="28"/>
      <c r="B33" s="29" t="s">
        <v>22</v>
      </c>
      <c r="C33" s="155"/>
      <c r="D33" s="49">
        <v>0.0397906</v>
      </c>
      <c r="E33" s="50"/>
      <c r="F33" s="49">
        <v>0.0453906</v>
      </c>
      <c r="G33" s="49"/>
      <c r="H33" s="49">
        <v>0.0593906</v>
      </c>
      <c r="I33" s="51"/>
      <c r="J33" s="49"/>
      <c r="K33" s="32"/>
      <c r="L33" s="32"/>
      <c r="M33" s="29"/>
      <c r="N33" s="6"/>
    </row>
    <row r="34" spans="1:14" ht="15.75">
      <c r="A34" s="28"/>
      <c r="B34" s="29" t="s">
        <v>23</v>
      </c>
      <c r="C34" s="155"/>
      <c r="D34" s="36" t="s">
        <v>147</v>
      </c>
      <c r="E34" s="29"/>
      <c r="F34" s="36" t="s">
        <v>147</v>
      </c>
      <c r="G34" s="36"/>
      <c r="H34" s="36" t="s">
        <v>147</v>
      </c>
      <c r="I34" s="36"/>
      <c r="J34" s="36"/>
      <c r="K34" s="32"/>
      <c r="L34" s="32"/>
      <c r="M34" s="29"/>
      <c r="N34" s="6"/>
    </row>
    <row r="35" spans="1:14" ht="15.75">
      <c r="A35" s="28"/>
      <c r="B35" s="29" t="s">
        <v>24</v>
      </c>
      <c r="C35" s="29"/>
      <c r="D35" s="52">
        <v>39248</v>
      </c>
      <c r="E35" s="29"/>
      <c r="F35" s="52">
        <v>39248</v>
      </c>
      <c r="G35" s="52"/>
      <c r="H35" s="52">
        <v>39248</v>
      </c>
      <c r="I35" s="36"/>
      <c r="J35" s="36"/>
      <c r="K35" s="32"/>
      <c r="L35" s="32"/>
      <c r="M35" s="29"/>
      <c r="N35" s="6"/>
    </row>
    <row r="36" spans="1:14" ht="15.75">
      <c r="A36" s="28"/>
      <c r="B36" s="29" t="s">
        <v>25</v>
      </c>
      <c r="C36" s="29"/>
      <c r="D36" s="36" t="s">
        <v>148</v>
      </c>
      <c r="E36" s="29"/>
      <c r="F36" s="36" t="s">
        <v>163</v>
      </c>
      <c r="G36" s="36"/>
      <c r="H36" s="36" t="s">
        <v>174</v>
      </c>
      <c r="I36" s="36"/>
      <c r="J36" s="36"/>
      <c r="K36" s="32"/>
      <c r="L36" s="32"/>
      <c r="M36" s="29"/>
      <c r="N36" s="6"/>
    </row>
    <row r="37" spans="1:14" ht="15.75">
      <c r="A37" s="28"/>
      <c r="B37" s="29"/>
      <c r="C37" s="29"/>
      <c r="D37" s="53"/>
      <c r="E37" s="53"/>
      <c r="F37" s="50"/>
      <c r="G37" s="53"/>
      <c r="H37" s="142"/>
      <c r="I37" s="53"/>
      <c r="J37" s="53"/>
      <c r="K37" s="53"/>
      <c r="L37" s="53"/>
      <c r="M37" s="29"/>
      <c r="N37" s="6"/>
    </row>
    <row r="38" spans="1:14" ht="15.75">
      <c r="A38" s="28"/>
      <c r="B38" s="29" t="s">
        <v>26</v>
      </c>
      <c r="C38" s="29"/>
      <c r="D38" s="29"/>
      <c r="E38" s="29"/>
      <c r="F38" s="50"/>
      <c r="G38" s="29"/>
      <c r="H38" s="50"/>
      <c r="I38" s="29"/>
      <c r="J38" s="29"/>
      <c r="K38" s="29"/>
      <c r="L38" s="51">
        <f>(H28+F28)/(D28)</f>
        <v>0.4084507042253521</v>
      </c>
      <c r="M38" s="29"/>
      <c r="N38" s="6"/>
    </row>
    <row r="39" spans="1:14" ht="15.75">
      <c r="A39" s="28"/>
      <c r="B39" s="29" t="s">
        <v>27</v>
      </c>
      <c r="C39" s="29"/>
      <c r="D39" s="50"/>
      <c r="E39" s="29"/>
      <c r="F39" s="50"/>
      <c r="G39" s="29"/>
      <c r="H39" s="50"/>
      <c r="I39" s="29"/>
      <c r="J39" s="29"/>
      <c r="K39" s="29"/>
      <c r="L39" s="51">
        <f>(H30+F30)/(D30)</f>
        <v>0.4084507042253521</v>
      </c>
      <c r="M39" s="29"/>
      <c r="N39" s="6"/>
    </row>
    <row r="40" spans="1:14" ht="15.75">
      <c r="A40" s="28"/>
      <c r="B40" s="29" t="s">
        <v>28</v>
      </c>
      <c r="C40" s="29"/>
      <c r="D40" s="29"/>
      <c r="E40" s="29"/>
      <c r="F40" s="50"/>
      <c r="G40" s="29"/>
      <c r="H40" s="50"/>
      <c r="I40" s="29"/>
      <c r="J40" s="36" t="s">
        <v>142</v>
      </c>
      <c r="K40" s="36" t="s">
        <v>185</v>
      </c>
      <c r="L40" s="37">
        <v>38766</v>
      </c>
      <c r="M40" s="29"/>
      <c r="N40" s="6"/>
    </row>
    <row r="41" spans="1:14" ht="15.75">
      <c r="A41" s="28"/>
      <c r="B41" s="29"/>
      <c r="C41" s="29"/>
      <c r="D41" s="50"/>
      <c r="E41" s="29"/>
      <c r="F41" s="50"/>
      <c r="G41" s="29"/>
      <c r="H41" s="29"/>
      <c r="I41" s="29"/>
      <c r="J41" s="29" t="s">
        <v>177</v>
      </c>
      <c r="K41" s="29"/>
      <c r="L41" s="54"/>
      <c r="M41" s="29"/>
      <c r="N41" s="6"/>
    </row>
    <row r="42" spans="1:14" ht="15.75">
      <c r="A42" s="28"/>
      <c r="B42" s="29" t="s">
        <v>29</v>
      </c>
      <c r="C42" s="29"/>
      <c r="D42" s="29"/>
      <c r="E42" s="29"/>
      <c r="F42" s="29"/>
      <c r="G42" s="29"/>
      <c r="H42" s="29"/>
      <c r="I42" s="29"/>
      <c r="J42" s="36"/>
      <c r="K42" s="36"/>
      <c r="L42" s="36" t="s">
        <v>187</v>
      </c>
      <c r="M42" s="29"/>
      <c r="N42" s="6"/>
    </row>
    <row r="43" spans="1:14" ht="15.75">
      <c r="A43" s="43"/>
      <c r="B43" s="33" t="s">
        <v>30</v>
      </c>
      <c r="C43" s="33"/>
      <c r="D43" s="33"/>
      <c r="E43" s="33"/>
      <c r="F43" s="33"/>
      <c r="G43" s="33"/>
      <c r="H43" s="33"/>
      <c r="I43" s="33"/>
      <c r="J43" s="55"/>
      <c r="K43" s="55"/>
      <c r="L43" s="56">
        <v>38061</v>
      </c>
      <c r="M43" s="33"/>
      <c r="N43" s="6"/>
    </row>
    <row r="44" spans="1:14" ht="15.75">
      <c r="A44" s="28"/>
      <c r="B44" s="29" t="s">
        <v>31</v>
      </c>
      <c r="C44" s="29"/>
      <c r="D44" s="29"/>
      <c r="E44" s="29"/>
      <c r="F44" s="29"/>
      <c r="G44" s="29"/>
      <c r="H44" s="32"/>
      <c r="I44" s="29">
        <f>L44-J44+1</f>
        <v>91</v>
      </c>
      <c r="J44" s="58">
        <v>37879</v>
      </c>
      <c r="K44" s="59"/>
      <c r="L44" s="58">
        <v>37969</v>
      </c>
      <c r="M44" s="29"/>
      <c r="N44" s="6"/>
    </row>
    <row r="45" spans="1:14" ht="15.75">
      <c r="A45" s="28"/>
      <c r="B45" s="29" t="s">
        <v>32</v>
      </c>
      <c r="C45" s="29"/>
      <c r="D45" s="29"/>
      <c r="E45" s="29"/>
      <c r="F45" s="29"/>
      <c r="G45" s="29"/>
      <c r="H45" s="32"/>
      <c r="I45" s="29">
        <f>L45-J45+1</f>
        <v>91</v>
      </c>
      <c r="J45" s="58">
        <v>37970</v>
      </c>
      <c r="K45" s="59"/>
      <c r="L45" s="58">
        <v>38060</v>
      </c>
      <c r="M45" s="29"/>
      <c r="N45" s="6"/>
    </row>
    <row r="46" spans="1:14" ht="15.75">
      <c r="A46" s="28"/>
      <c r="B46" s="29" t="s">
        <v>33</v>
      </c>
      <c r="C46" s="29"/>
      <c r="D46" s="29"/>
      <c r="E46" s="29"/>
      <c r="F46" s="29"/>
      <c r="G46" s="29"/>
      <c r="H46" s="29"/>
      <c r="I46" s="29"/>
      <c r="J46" s="58"/>
      <c r="K46" s="59"/>
      <c r="L46" s="58" t="s">
        <v>202</v>
      </c>
      <c r="M46" s="29"/>
      <c r="N46" s="6"/>
    </row>
    <row r="47" spans="1:14" ht="15.75">
      <c r="A47" s="28"/>
      <c r="B47" s="29" t="s">
        <v>34</v>
      </c>
      <c r="C47" s="29"/>
      <c r="D47" s="29"/>
      <c r="E47" s="29"/>
      <c r="F47" s="29"/>
      <c r="G47" s="29"/>
      <c r="H47" s="29"/>
      <c r="I47" s="29"/>
      <c r="J47" s="58"/>
      <c r="K47" s="59"/>
      <c r="L47" s="58">
        <v>38051</v>
      </c>
      <c r="M47" s="29"/>
      <c r="N47" s="6"/>
    </row>
    <row r="48" spans="1:14" ht="15.75">
      <c r="A48" s="28"/>
      <c r="B48" s="29"/>
      <c r="C48" s="29"/>
      <c r="D48" s="29"/>
      <c r="E48" s="29"/>
      <c r="F48" s="29"/>
      <c r="G48" s="29"/>
      <c r="H48" s="29"/>
      <c r="I48" s="29"/>
      <c r="J48" s="29"/>
      <c r="K48" s="29"/>
      <c r="L48" s="60"/>
      <c r="M48" s="29"/>
      <c r="N48" s="6"/>
    </row>
    <row r="49" spans="1:14" ht="15.75">
      <c r="A49" s="7"/>
      <c r="B49" s="9"/>
      <c r="C49" s="9"/>
      <c r="D49" s="9"/>
      <c r="E49" s="9"/>
      <c r="F49" s="9"/>
      <c r="G49" s="9"/>
      <c r="H49" s="9"/>
      <c r="I49" s="9"/>
      <c r="J49" s="9"/>
      <c r="K49" s="9"/>
      <c r="L49" s="61"/>
      <c r="M49" s="9"/>
      <c r="N49" s="6"/>
    </row>
    <row r="50" spans="1:14" ht="16.5" thickBot="1">
      <c r="A50" s="144"/>
      <c r="B50" s="145" t="s">
        <v>201</v>
      </c>
      <c r="C50" s="146"/>
      <c r="D50" s="146"/>
      <c r="E50" s="146"/>
      <c r="F50" s="146"/>
      <c r="G50" s="146"/>
      <c r="H50" s="146"/>
      <c r="I50" s="146"/>
      <c r="J50" s="146"/>
      <c r="K50" s="146"/>
      <c r="L50" s="147"/>
      <c r="M50" s="148"/>
      <c r="N50" s="6"/>
    </row>
    <row r="51" spans="1:14" ht="15.75">
      <c r="A51" s="2"/>
      <c r="B51" s="5"/>
      <c r="C51" s="5"/>
      <c r="D51" s="5"/>
      <c r="E51" s="5"/>
      <c r="F51" s="5"/>
      <c r="G51" s="5"/>
      <c r="H51" s="5"/>
      <c r="I51" s="5"/>
      <c r="J51" s="5"/>
      <c r="K51" s="5"/>
      <c r="L51" s="62"/>
      <c r="M51" s="5"/>
      <c r="N51" s="6"/>
    </row>
    <row r="52" spans="1:14" ht="15.75">
      <c r="A52" s="7"/>
      <c r="B52" s="63" t="s">
        <v>36</v>
      </c>
      <c r="C52" s="15"/>
      <c r="D52" s="9"/>
      <c r="E52" s="9"/>
      <c r="F52" s="9"/>
      <c r="G52" s="9"/>
      <c r="H52" s="9"/>
      <c r="I52" s="9"/>
      <c r="J52" s="9"/>
      <c r="K52" s="9"/>
      <c r="L52" s="64"/>
      <c r="M52" s="9"/>
      <c r="N52" s="6"/>
    </row>
    <row r="53" spans="1:14" ht="15.75">
      <c r="A53" s="7"/>
      <c r="B53" s="15"/>
      <c r="C53" s="15"/>
      <c r="D53" s="9"/>
      <c r="E53" s="9"/>
      <c r="F53" s="9"/>
      <c r="G53" s="9"/>
      <c r="H53" s="9"/>
      <c r="I53" s="9"/>
      <c r="J53" s="9"/>
      <c r="K53" s="9"/>
      <c r="L53" s="64"/>
      <c r="M53" s="9"/>
      <c r="N53" s="6"/>
    </row>
    <row r="54" spans="1:14" ht="47.25">
      <c r="A54" s="7"/>
      <c r="B54" s="65"/>
      <c r="C54" s="162" t="s">
        <v>139</v>
      </c>
      <c r="D54" s="162" t="s">
        <v>149</v>
      </c>
      <c r="E54" s="162"/>
      <c r="F54" s="162" t="s">
        <v>164</v>
      </c>
      <c r="G54" s="162"/>
      <c r="H54" s="162" t="s">
        <v>175</v>
      </c>
      <c r="I54" s="162"/>
      <c r="J54" s="162" t="s">
        <v>178</v>
      </c>
      <c r="K54" s="162"/>
      <c r="L54" s="163" t="s">
        <v>189</v>
      </c>
      <c r="M54" s="158"/>
      <c r="N54" s="6"/>
    </row>
    <row r="55" spans="1:14" ht="15.75">
      <c r="A55" s="28"/>
      <c r="B55" s="29" t="s">
        <v>37</v>
      </c>
      <c r="C55" s="66">
        <f>81776+9633</f>
        <v>91409</v>
      </c>
      <c r="D55" s="66">
        <v>64133</v>
      </c>
      <c r="E55" s="66"/>
      <c r="F55" s="66">
        <f>2432+2608+89+19+43+4</f>
        <v>5195</v>
      </c>
      <c r="G55" s="66"/>
      <c r="H55" s="66">
        <f>205</f>
        <v>205</v>
      </c>
      <c r="I55" s="66"/>
      <c r="J55" s="66">
        <v>0</v>
      </c>
      <c r="K55" s="66"/>
      <c r="L55" s="67">
        <f>D55-F55+H55-J55</f>
        <v>59143</v>
      </c>
      <c r="M55" s="29"/>
      <c r="N55" s="6"/>
    </row>
    <row r="56" spans="1:14" ht="15.75">
      <c r="A56" s="28"/>
      <c r="B56" s="29" t="s">
        <v>38</v>
      </c>
      <c r="C56" s="66">
        <v>1</v>
      </c>
      <c r="D56" s="66">
        <v>0</v>
      </c>
      <c r="E56" s="66"/>
      <c r="F56" s="66"/>
      <c r="G56" s="66"/>
      <c r="H56" s="66">
        <v>0</v>
      </c>
      <c r="I56" s="66"/>
      <c r="J56" s="66">
        <v>0</v>
      </c>
      <c r="K56" s="66"/>
      <c r="L56" s="67">
        <f>D56-F56</f>
        <v>0</v>
      </c>
      <c r="M56" s="29"/>
      <c r="N56" s="6"/>
    </row>
    <row r="57" spans="1:14" ht="15.75">
      <c r="A57" s="28"/>
      <c r="B57" s="29"/>
      <c r="C57" s="66"/>
      <c r="D57" s="66"/>
      <c r="E57" s="66"/>
      <c r="F57" s="66"/>
      <c r="G57" s="66"/>
      <c r="H57" s="66"/>
      <c r="I57" s="66"/>
      <c r="J57" s="66"/>
      <c r="K57" s="66"/>
      <c r="L57" s="67"/>
      <c r="M57" s="29"/>
      <c r="N57" s="6"/>
    </row>
    <row r="58" spans="1:14" ht="15.75">
      <c r="A58" s="28"/>
      <c r="B58" s="29" t="s">
        <v>39</v>
      </c>
      <c r="C58" s="66">
        <f>59449+801</f>
        <v>60250</v>
      </c>
      <c r="D58" s="66">
        <v>24229</v>
      </c>
      <c r="E58" s="66"/>
      <c r="F58" s="66">
        <v>8609</v>
      </c>
      <c r="G58" s="66"/>
      <c r="H58" s="66">
        <f>9797</f>
        <v>9797</v>
      </c>
      <c r="I58" s="66"/>
      <c r="J58" s="66">
        <f>SUM(J55:J57)</f>
        <v>0</v>
      </c>
      <c r="K58" s="66"/>
      <c r="L58" s="67">
        <f>D58-F58+H58-J58</f>
        <v>25417</v>
      </c>
      <c r="M58" s="29"/>
      <c r="N58" s="6"/>
    </row>
    <row r="59" spans="1:14" ht="15.75">
      <c r="A59" s="28"/>
      <c r="B59" s="29" t="s">
        <v>38</v>
      </c>
      <c r="C59" s="66">
        <v>136</v>
      </c>
      <c r="D59" s="66"/>
      <c r="E59" s="66"/>
      <c r="F59" s="66"/>
      <c r="G59" s="66"/>
      <c r="H59" s="66">
        <v>0</v>
      </c>
      <c r="I59" s="66"/>
      <c r="J59" s="66">
        <v>0</v>
      </c>
      <c r="K59" s="66"/>
      <c r="L59" s="68"/>
      <c r="M59" s="29"/>
      <c r="N59" s="6"/>
    </row>
    <row r="60" spans="1:14" ht="15.75">
      <c r="A60" s="28"/>
      <c r="B60" s="69"/>
      <c r="C60" s="66"/>
      <c r="D60" s="66"/>
      <c r="E60" s="66"/>
      <c r="F60" s="70"/>
      <c r="G60" s="66"/>
      <c r="H60" s="66"/>
      <c r="I60" s="66"/>
      <c r="J60" s="66"/>
      <c r="K60" s="66"/>
      <c r="L60" s="68"/>
      <c r="M60" s="29"/>
      <c r="N60" s="6"/>
    </row>
    <row r="61" spans="1:14" ht="15.75">
      <c r="A61" s="28"/>
      <c r="B61" s="29" t="s">
        <v>40</v>
      </c>
      <c r="C61" s="66">
        <v>25730</v>
      </c>
      <c r="D61" s="66">
        <v>90026</v>
      </c>
      <c r="E61" s="66"/>
      <c r="F61" s="66">
        <f>14414+3+39</f>
        <v>14456</v>
      </c>
      <c r="G61" s="66"/>
      <c r="H61" s="66">
        <f>19608+113</f>
        <v>19721</v>
      </c>
      <c r="I61" s="66"/>
      <c r="J61" s="66">
        <v>0</v>
      </c>
      <c r="K61" s="66"/>
      <c r="L61" s="67">
        <f>D61-F61+H61-J61</f>
        <v>95291</v>
      </c>
      <c r="M61" s="29"/>
      <c r="N61" s="6"/>
    </row>
    <row r="62" spans="1:14" ht="15.75">
      <c r="A62" s="28"/>
      <c r="B62" s="29" t="s">
        <v>38</v>
      </c>
      <c r="C62" s="66">
        <v>260</v>
      </c>
      <c r="D62" s="67">
        <v>0</v>
      </c>
      <c r="E62" s="66"/>
      <c r="F62" s="66"/>
      <c r="G62" s="66"/>
      <c r="H62" s="66">
        <v>0</v>
      </c>
      <c r="I62" s="66"/>
      <c r="J62" s="66">
        <v>0</v>
      </c>
      <c r="K62" s="66"/>
      <c r="L62" s="67">
        <f>D62-F62+H62-J62</f>
        <v>0</v>
      </c>
      <c r="M62" s="29"/>
      <c r="N62" s="6"/>
    </row>
    <row r="63" spans="1:14" ht="15.75">
      <c r="A63" s="28"/>
      <c r="B63" s="29"/>
      <c r="C63" s="66"/>
      <c r="D63" s="67"/>
      <c r="E63" s="66"/>
      <c r="F63" s="66"/>
      <c r="G63" s="66"/>
      <c r="H63" s="66"/>
      <c r="I63" s="66"/>
      <c r="J63" s="66"/>
      <c r="K63" s="66"/>
      <c r="L63" s="67"/>
      <c r="M63" s="29"/>
      <c r="N63" s="6"/>
    </row>
    <row r="64" spans="1:14" ht="15.75">
      <c r="A64" s="28"/>
      <c r="B64" s="29" t="s">
        <v>41</v>
      </c>
      <c r="C64" s="66">
        <v>26410</v>
      </c>
      <c r="D64" s="67">
        <v>53698</v>
      </c>
      <c r="E64" s="66"/>
      <c r="F64" s="66">
        <f>9019+204+144</f>
        <v>9367</v>
      </c>
      <c r="G64" s="66"/>
      <c r="H64" s="66">
        <v>8654</v>
      </c>
      <c r="I64" s="66"/>
      <c r="J64" s="66">
        <v>0</v>
      </c>
      <c r="K64" s="66"/>
      <c r="L64" s="67">
        <f>D64-F64+H64-J64</f>
        <v>52985</v>
      </c>
      <c r="M64" s="29"/>
      <c r="N64" s="6"/>
    </row>
    <row r="65" spans="1:14" ht="15.75">
      <c r="A65" s="28"/>
      <c r="B65" s="29" t="s">
        <v>38</v>
      </c>
      <c r="C65" s="66">
        <v>229</v>
      </c>
      <c r="D65" s="67"/>
      <c r="E65" s="66"/>
      <c r="F65" s="66"/>
      <c r="G65" s="66"/>
      <c r="H65" s="66">
        <v>0</v>
      </c>
      <c r="I65" s="66"/>
      <c r="J65" s="66">
        <v>0</v>
      </c>
      <c r="K65" s="66"/>
      <c r="L65" s="67"/>
      <c r="M65" s="29"/>
      <c r="N65" s="6"/>
    </row>
    <row r="66" spans="1:14" ht="15.75">
      <c r="A66" s="28"/>
      <c r="B66" s="66"/>
      <c r="C66" s="66"/>
      <c r="D66" s="67"/>
      <c r="E66" s="66"/>
      <c r="F66" s="66"/>
      <c r="G66" s="66"/>
      <c r="H66" s="66"/>
      <c r="I66" s="66"/>
      <c r="J66" s="66"/>
      <c r="K66" s="66"/>
      <c r="L66" s="67"/>
      <c r="M66" s="29"/>
      <c r="N66" s="6"/>
    </row>
    <row r="67" spans="1:14" ht="15.75">
      <c r="A67" s="28"/>
      <c r="B67" s="29" t="s">
        <v>42</v>
      </c>
      <c r="C67" s="66">
        <f>SUM(C55:C65)</f>
        <v>204425</v>
      </c>
      <c r="D67" s="66">
        <f>SUM(D55:D64)</f>
        <v>232086</v>
      </c>
      <c r="E67" s="66"/>
      <c r="F67" s="66">
        <f>SUM(F55:F65)</f>
        <v>37627</v>
      </c>
      <c r="G67" s="66"/>
      <c r="H67" s="66">
        <f>SUM(H55:H65)</f>
        <v>38377</v>
      </c>
      <c r="I67" s="66"/>
      <c r="J67" s="66">
        <f>SUM(J62:J66)</f>
        <v>0</v>
      </c>
      <c r="K67" s="66"/>
      <c r="L67" s="66">
        <f>SUM(L55:L66)</f>
        <v>232836</v>
      </c>
      <c r="M67" s="29"/>
      <c r="N67" s="6"/>
    </row>
    <row r="68" spans="1:14" ht="15.75">
      <c r="A68" s="28"/>
      <c r="B68" s="29"/>
      <c r="C68" s="66"/>
      <c r="D68" s="68"/>
      <c r="E68" s="66"/>
      <c r="F68" s="66"/>
      <c r="G68" s="66"/>
      <c r="H68" s="66"/>
      <c r="I68" s="66"/>
      <c r="J68" s="66"/>
      <c r="K68" s="66"/>
      <c r="L68" s="68"/>
      <c r="M68" s="29"/>
      <c r="N68" s="6"/>
    </row>
    <row r="69" spans="1:14" ht="15.75">
      <c r="A69" s="28"/>
      <c r="B69" s="29" t="s">
        <v>43</v>
      </c>
      <c r="C69" s="66">
        <f>-1789-10434</f>
        <v>-12223</v>
      </c>
      <c r="D69" s="66">
        <v>-27528</v>
      </c>
      <c r="E69" s="66"/>
      <c r="F69" s="66">
        <v>650</v>
      </c>
      <c r="G69" s="66"/>
      <c r="H69" s="66"/>
      <c r="I69" s="66"/>
      <c r="J69" s="66"/>
      <c r="K69" s="66"/>
      <c r="L69" s="66">
        <f>D69-F69</f>
        <v>-28178</v>
      </c>
      <c r="M69" s="29"/>
      <c r="N69" s="6"/>
    </row>
    <row r="70" spans="1:15" ht="15.75">
      <c r="A70" s="28"/>
      <c r="B70" s="29" t="s">
        <v>44</v>
      </c>
      <c r="C70" s="66">
        <v>58798</v>
      </c>
      <c r="D70" s="68">
        <v>46442</v>
      </c>
      <c r="E70" s="66"/>
      <c r="F70" s="66">
        <f>SUM(F67:F69)</f>
        <v>38277</v>
      </c>
      <c r="G70" s="66"/>
      <c r="H70" s="66">
        <f>-H67</f>
        <v>-38377</v>
      </c>
      <c r="I70" s="66"/>
      <c r="J70" s="66"/>
      <c r="K70" s="66"/>
      <c r="L70" s="68">
        <f>D70+F70+H70+D73</f>
        <v>46342</v>
      </c>
      <c r="M70" s="29"/>
      <c r="N70" s="6"/>
      <c r="O70" s="72"/>
    </row>
    <row r="71" spans="1:14" ht="15.75">
      <c r="A71" s="28"/>
      <c r="B71" s="29" t="s">
        <v>45</v>
      </c>
      <c r="C71" s="66">
        <v>0</v>
      </c>
      <c r="D71" s="68">
        <v>0</v>
      </c>
      <c r="E71" s="66"/>
      <c r="F71" s="66"/>
      <c r="G71" s="66"/>
      <c r="H71" s="66">
        <v>0</v>
      </c>
      <c r="I71" s="66"/>
      <c r="J71" s="66"/>
      <c r="K71" s="66"/>
      <c r="L71" s="68">
        <f>H71+D71</f>
        <v>0</v>
      </c>
      <c r="M71" s="29"/>
      <c r="N71" s="6"/>
    </row>
    <row r="72" spans="1:14" ht="15.75">
      <c r="A72" s="28"/>
      <c r="B72" s="29" t="s">
        <v>46</v>
      </c>
      <c r="C72" s="66">
        <v>0</v>
      </c>
      <c r="D72" s="68">
        <v>0</v>
      </c>
      <c r="E72" s="66"/>
      <c r="F72" s="66">
        <v>0</v>
      </c>
      <c r="G72" s="66"/>
      <c r="H72" s="66"/>
      <c r="I72" s="66"/>
      <c r="J72" s="66"/>
      <c r="K72" s="66"/>
      <c r="L72" s="68">
        <f>D72+F72+H72</f>
        <v>0</v>
      </c>
      <c r="M72" s="29"/>
      <c r="N72" s="6"/>
    </row>
    <row r="73" spans="1:14" ht="15.75">
      <c r="A73" s="28"/>
      <c r="B73" s="29" t="s">
        <v>47</v>
      </c>
      <c r="C73" s="66">
        <v>0</v>
      </c>
      <c r="D73" s="68">
        <v>0</v>
      </c>
      <c r="E73" s="66"/>
      <c r="F73" s="66"/>
      <c r="G73" s="66"/>
      <c r="H73" s="156"/>
      <c r="I73" s="66"/>
      <c r="J73" s="66"/>
      <c r="K73" s="66"/>
      <c r="L73" s="68">
        <v>0</v>
      </c>
      <c r="M73" s="29"/>
      <c r="N73" s="6"/>
    </row>
    <row r="74" spans="1:14" ht="15.75">
      <c r="A74" s="28"/>
      <c r="B74" s="29" t="s">
        <v>19</v>
      </c>
      <c r="C74" s="68">
        <f>SUM(C67:C73)</f>
        <v>251000</v>
      </c>
      <c r="D74" s="68">
        <f>SUM(D67:D73)</f>
        <v>251000</v>
      </c>
      <c r="E74" s="66"/>
      <c r="F74" s="66">
        <f>F70-F73-F72</f>
        <v>38277</v>
      </c>
      <c r="G74" s="66"/>
      <c r="H74" s="66"/>
      <c r="I74" s="66"/>
      <c r="J74" s="66"/>
      <c r="K74" s="66"/>
      <c r="L74" s="68">
        <f>SUM(L67:L73)</f>
        <v>251000</v>
      </c>
      <c r="M74" s="29"/>
      <c r="N74" s="6"/>
    </row>
    <row r="75" spans="1:14" ht="15.75">
      <c r="A75" s="28"/>
      <c r="B75" s="66"/>
      <c r="C75" s="29"/>
      <c r="D75" s="29"/>
      <c r="E75" s="29"/>
      <c r="F75" s="29"/>
      <c r="G75" s="29"/>
      <c r="H75" s="29"/>
      <c r="I75" s="29"/>
      <c r="J75" s="36"/>
      <c r="K75" s="29"/>
      <c r="L75" s="36"/>
      <c r="M75" s="29"/>
      <c r="N75" s="6"/>
    </row>
    <row r="76" spans="1:14" ht="15.75">
      <c r="A76" s="7"/>
      <c r="B76" s="63" t="s">
        <v>48</v>
      </c>
      <c r="C76" s="16"/>
      <c r="D76" s="16"/>
      <c r="E76" s="16"/>
      <c r="F76" s="16"/>
      <c r="G76" s="16"/>
      <c r="H76" s="16"/>
      <c r="I76" s="19"/>
      <c r="J76" s="19"/>
      <c r="K76" s="19"/>
      <c r="L76" s="19" t="s">
        <v>190</v>
      </c>
      <c r="M76" s="16"/>
      <c r="N76" s="6"/>
    </row>
    <row r="77" spans="1:14" ht="15.75">
      <c r="A77" s="28"/>
      <c r="B77" s="29" t="s">
        <v>49</v>
      </c>
      <c r="C77" s="29"/>
      <c r="D77" s="29"/>
      <c r="E77" s="29"/>
      <c r="F77" s="29"/>
      <c r="G77" s="29"/>
      <c r="H77" s="29"/>
      <c r="I77" s="29"/>
      <c r="J77" s="66"/>
      <c r="K77" s="29"/>
      <c r="L77" s="67">
        <f>61937</f>
        <v>61937</v>
      </c>
      <c r="M77" s="29"/>
      <c r="N77" s="6"/>
    </row>
    <row r="78" spans="1:14" ht="15.75">
      <c r="A78" s="28"/>
      <c r="B78" s="29" t="s">
        <v>50</v>
      </c>
      <c r="C78" s="53"/>
      <c r="D78" s="57"/>
      <c r="E78" s="29"/>
      <c r="F78" s="29"/>
      <c r="G78" s="29"/>
      <c r="H78" s="29"/>
      <c r="I78" s="29"/>
      <c r="J78" s="66"/>
      <c r="K78" s="29"/>
      <c r="L78" s="67">
        <f>1679+170+62+18-51+3</f>
        <v>1881</v>
      </c>
      <c r="M78" s="29"/>
      <c r="N78" s="6"/>
    </row>
    <row r="79" spans="1:14" ht="15.75">
      <c r="A79" s="28"/>
      <c r="B79" s="29" t="s">
        <v>51</v>
      </c>
      <c r="C79" s="53"/>
      <c r="D79" s="57"/>
      <c r="E79" s="29"/>
      <c r="F79" s="29"/>
      <c r="G79" s="29"/>
      <c r="H79" s="29"/>
      <c r="I79" s="29"/>
      <c r="J79" s="66"/>
      <c r="K79" s="29"/>
      <c r="L79" s="67">
        <v>-10793</v>
      </c>
      <c r="M79" s="29"/>
      <c r="N79" s="6"/>
    </row>
    <row r="80" spans="1:14" ht="15.75">
      <c r="A80" s="28"/>
      <c r="B80" s="29" t="s">
        <v>192</v>
      </c>
      <c r="C80" s="53"/>
      <c r="D80" s="57"/>
      <c r="E80" s="29"/>
      <c r="F80" s="29"/>
      <c r="G80" s="29"/>
      <c r="H80" s="29"/>
      <c r="I80" s="29"/>
      <c r="J80" s="66"/>
      <c r="K80" s="29"/>
      <c r="L80" s="67">
        <v>-23</v>
      </c>
      <c r="M80" s="29"/>
      <c r="N80" s="6"/>
    </row>
    <row r="81" spans="1:14" ht="15.75">
      <c r="A81" s="28"/>
      <c r="B81" s="29" t="s">
        <v>52</v>
      </c>
      <c r="C81" s="29"/>
      <c r="D81" s="29"/>
      <c r="E81" s="29"/>
      <c r="F81" s="29"/>
      <c r="G81" s="29"/>
      <c r="H81" s="29"/>
      <c r="I81" s="29"/>
      <c r="J81" s="66"/>
      <c r="K81" s="29"/>
      <c r="L81" s="67">
        <v>0</v>
      </c>
      <c r="M81" s="29"/>
      <c r="N81" s="6"/>
    </row>
    <row r="82" spans="1:14" ht="15.75">
      <c r="A82" s="28"/>
      <c r="B82" s="29" t="s">
        <v>53</v>
      </c>
      <c r="C82" s="29"/>
      <c r="D82" s="29"/>
      <c r="E82" s="29"/>
      <c r="F82" s="29"/>
      <c r="G82" s="29"/>
      <c r="H82" s="29"/>
      <c r="I82" s="29"/>
      <c r="J82" s="66"/>
      <c r="K82" s="29"/>
      <c r="L82" s="67">
        <f>SUM(L77:L81)</f>
        <v>53002</v>
      </c>
      <c r="M82" s="29"/>
      <c r="N82" s="6"/>
    </row>
    <row r="83" spans="1:14" ht="15.75">
      <c r="A83" s="28"/>
      <c r="B83" s="29"/>
      <c r="C83" s="29"/>
      <c r="D83" s="29"/>
      <c r="E83" s="29"/>
      <c r="F83" s="29"/>
      <c r="G83" s="29"/>
      <c r="H83" s="29"/>
      <c r="I83" s="29"/>
      <c r="J83" s="66"/>
      <c r="K83" s="29"/>
      <c r="L83" s="68"/>
      <c r="M83" s="29"/>
      <c r="N83" s="6"/>
    </row>
    <row r="84" spans="1:14" ht="15.75">
      <c r="A84" s="28"/>
      <c r="B84" s="164" t="s">
        <v>54</v>
      </c>
      <c r="C84" s="73"/>
      <c r="D84" s="29"/>
      <c r="E84" s="29"/>
      <c r="F84" s="29"/>
      <c r="G84" s="29"/>
      <c r="H84" s="29"/>
      <c r="I84" s="29"/>
      <c r="J84" s="66"/>
      <c r="K84" s="29"/>
      <c r="L84" s="67"/>
      <c r="M84" s="29"/>
      <c r="N84" s="6"/>
    </row>
    <row r="85" spans="1:14" ht="15.75">
      <c r="A85" s="28">
        <v>1</v>
      </c>
      <c r="B85" s="29" t="s">
        <v>55</v>
      </c>
      <c r="C85" s="29"/>
      <c r="D85" s="29"/>
      <c r="E85" s="29"/>
      <c r="F85" s="29"/>
      <c r="G85" s="29"/>
      <c r="H85" s="29"/>
      <c r="I85" s="29"/>
      <c r="J85" s="29"/>
      <c r="K85" s="29"/>
      <c r="L85" s="67">
        <v>-4</v>
      </c>
      <c r="M85" s="29"/>
      <c r="N85" s="6"/>
    </row>
    <row r="86" spans="1:14" ht="15.75">
      <c r="A86" s="28">
        <f aca="true" t="shared" si="0" ref="A86:A94">A85+1</f>
        <v>2</v>
      </c>
      <c r="B86" s="29" t="s">
        <v>56</v>
      </c>
      <c r="C86" s="29"/>
      <c r="D86" s="29"/>
      <c r="E86" s="29"/>
      <c r="F86" s="29"/>
      <c r="G86" s="29"/>
      <c r="H86" s="29"/>
      <c r="I86" s="29"/>
      <c r="J86" s="29"/>
      <c r="K86" s="29"/>
      <c r="L86" s="67">
        <f>-494-80</f>
        <v>-574</v>
      </c>
      <c r="M86" s="29"/>
      <c r="N86" s="6"/>
    </row>
    <row r="87" spans="1:14" ht="15.75">
      <c r="A87" s="28">
        <f t="shared" si="0"/>
        <v>3</v>
      </c>
      <c r="B87" s="29" t="s">
        <v>57</v>
      </c>
      <c r="C87" s="29"/>
      <c r="D87" s="29"/>
      <c r="E87" s="29"/>
      <c r="F87" s="29"/>
      <c r="G87" s="29"/>
      <c r="H87" s="29"/>
      <c r="I87" s="29"/>
      <c r="J87" s="29"/>
      <c r="K87" s="29"/>
      <c r="L87" s="67">
        <v>-191</v>
      </c>
      <c r="M87" s="29"/>
      <c r="N87" s="6"/>
    </row>
    <row r="88" spans="1:14" ht="15.75">
      <c r="A88" s="28">
        <f t="shared" si="0"/>
        <v>4</v>
      </c>
      <c r="B88" s="29" t="s">
        <v>58</v>
      </c>
      <c r="C88" s="29"/>
      <c r="D88" s="29"/>
      <c r="E88" s="29"/>
      <c r="F88" s="29"/>
      <c r="G88" s="29"/>
      <c r="H88" s="29"/>
      <c r="I88" s="29"/>
      <c r="J88" s="29"/>
      <c r="K88" s="29"/>
      <c r="L88" s="67">
        <v>-1910</v>
      </c>
      <c r="M88" s="29"/>
      <c r="N88" s="6"/>
    </row>
    <row r="89" spans="1:14" ht="15.75">
      <c r="A89" s="28">
        <f t="shared" si="0"/>
        <v>5</v>
      </c>
      <c r="B89" s="29" t="s">
        <v>59</v>
      </c>
      <c r="C89" s="29"/>
      <c r="D89" s="29"/>
      <c r="E89" s="29"/>
      <c r="F89" s="29"/>
      <c r="G89" s="29"/>
      <c r="H89" s="29"/>
      <c r="I89" s="29"/>
      <c r="J89" s="29"/>
      <c r="K89" s="29"/>
      <c r="L89" s="67">
        <v>-5</v>
      </c>
      <c r="M89" s="29"/>
      <c r="N89" s="6"/>
    </row>
    <row r="90" spans="1:14" ht="15.75">
      <c r="A90" s="28">
        <f t="shared" si="0"/>
        <v>6</v>
      </c>
      <c r="B90" s="29" t="s">
        <v>60</v>
      </c>
      <c r="C90" s="29"/>
      <c r="D90" s="29"/>
      <c r="E90" s="29"/>
      <c r="F90" s="29"/>
      <c r="G90" s="29"/>
      <c r="H90" s="29"/>
      <c r="I90" s="29"/>
      <c r="J90" s="29"/>
      <c r="K90" s="29"/>
      <c r="L90" s="67">
        <v>-623</v>
      </c>
      <c r="M90" s="29"/>
      <c r="N90" s="6"/>
    </row>
    <row r="91" spans="1:14" ht="15.75">
      <c r="A91" s="28">
        <f t="shared" si="0"/>
        <v>7</v>
      </c>
      <c r="B91" s="29" t="s">
        <v>61</v>
      </c>
      <c r="C91" s="29"/>
      <c r="D91" s="29"/>
      <c r="E91" s="29"/>
      <c r="F91" s="29"/>
      <c r="G91" s="29"/>
      <c r="H91" s="29"/>
      <c r="I91" s="29"/>
      <c r="J91" s="29"/>
      <c r="K91" s="29"/>
      <c r="L91" s="67">
        <v>-333</v>
      </c>
      <c r="M91" s="29"/>
      <c r="N91" s="6"/>
    </row>
    <row r="92" spans="1:14" ht="15.75">
      <c r="A92" s="28">
        <f t="shared" si="0"/>
        <v>8</v>
      </c>
      <c r="B92" s="29" t="s">
        <v>62</v>
      </c>
      <c r="C92" s="29"/>
      <c r="D92" s="29"/>
      <c r="E92" s="29"/>
      <c r="F92" s="29"/>
      <c r="G92" s="29"/>
      <c r="H92" s="29"/>
      <c r="I92" s="29"/>
      <c r="J92" s="29"/>
      <c r="K92" s="29"/>
      <c r="L92" s="67">
        <v>0</v>
      </c>
      <c r="M92" s="29"/>
      <c r="N92" s="6"/>
    </row>
    <row r="93" spans="1:14" ht="15.75">
      <c r="A93" s="28">
        <f t="shared" si="0"/>
        <v>9</v>
      </c>
      <c r="B93" s="29" t="s">
        <v>44</v>
      </c>
      <c r="C93" s="29"/>
      <c r="D93" s="29"/>
      <c r="E93" s="29"/>
      <c r="F93" s="29"/>
      <c r="G93" s="29"/>
      <c r="H93" s="29"/>
      <c r="I93" s="29"/>
      <c r="J93" s="66"/>
      <c r="K93" s="29"/>
      <c r="L93" s="67">
        <f>L82+SUM(L85:L91)-L94</f>
        <v>46345</v>
      </c>
      <c r="M93" s="29"/>
      <c r="N93" s="6"/>
    </row>
    <row r="94" spans="1:15" ht="15.75">
      <c r="A94" s="28">
        <f t="shared" si="0"/>
        <v>10</v>
      </c>
      <c r="B94" s="29" t="s">
        <v>63</v>
      </c>
      <c r="C94" s="29"/>
      <c r="D94" s="29"/>
      <c r="E94" s="29"/>
      <c r="F94" s="29"/>
      <c r="G94" s="29"/>
      <c r="H94" s="29"/>
      <c r="I94" s="29"/>
      <c r="J94" s="29"/>
      <c r="K94" s="29"/>
      <c r="L94" s="67">
        <f>J195+SUM(L82:L91)+J197-J200</f>
        <v>3017</v>
      </c>
      <c r="M94" s="29"/>
      <c r="N94" s="6"/>
      <c r="O94" s="72"/>
    </row>
    <row r="95" spans="1:14" ht="15.75">
      <c r="A95" s="28"/>
      <c r="B95" s="32"/>
      <c r="C95" s="29"/>
      <c r="D95" s="29"/>
      <c r="E95" s="29"/>
      <c r="F95" s="29"/>
      <c r="G95" s="29"/>
      <c r="H95" s="29"/>
      <c r="I95" s="29"/>
      <c r="J95" s="66"/>
      <c r="K95" s="66"/>
      <c r="L95" s="66"/>
      <c r="M95" s="29"/>
      <c r="N95" s="6"/>
    </row>
    <row r="96" spans="1:14" ht="15.75">
      <c r="A96" s="7"/>
      <c r="B96" s="14"/>
      <c r="C96" s="9"/>
      <c r="D96" s="9"/>
      <c r="E96" s="9"/>
      <c r="F96" s="9"/>
      <c r="G96" s="9"/>
      <c r="H96" s="9"/>
      <c r="I96" s="9"/>
      <c r="J96" s="74"/>
      <c r="K96" s="74"/>
      <c r="L96" s="74"/>
      <c r="M96" s="9"/>
      <c r="N96" s="6"/>
    </row>
    <row r="97" spans="1:14" ht="16.5" thickBot="1">
      <c r="A97" s="144"/>
      <c r="B97" s="145" t="str">
        <f>B50</f>
        <v>PPAF1 INVESTOR REPORT QUARTER ENDING FEBRUARY 2004</v>
      </c>
      <c r="C97" s="146"/>
      <c r="D97" s="146"/>
      <c r="E97" s="146"/>
      <c r="F97" s="146"/>
      <c r="G97" s="146"/>
      <c r="H97" s="146"/>
      <c r="I97" s="146"/>
      <c r="J97" s="149"/>
      <c r="K97" s="149"/>
      <c r="L97" s="149"/>
      <c r="M97" s="148"/>
      <c r="N97" s="6"/>
    </row>
    <row r="98" spans="1:14" ht="15.75">
      <c r="A98" s="2"/>
      <c r="B98" s="5"/>
      <c r="C98" s="5"/>
      <c r="D98" s="5"/>
      <c r="E98" s="5"/>
      <c r="F98" s="5"/>
      <c r="G98" s="5"/>
      <c r="H98" s="5"/>
      <c r="I98" s="5"/>
      <c r="J98" s="75"/>
      <c r="K98" s="75"/>
      <c r="L98" s="75"/>
      <c r="M98" s="5"/>
      <c r="N98" s="6"/>
    </row>
    <row r="99" spans="1:14" ht="15.75">
      <c r="A99" s="76"/>
      <c r="B99" s="77" t="s">
        <v>64</v>
      </c>
      <c r="C99" s="78"/>
      <c r="D99" s="78"/>
      <c r="E99" s="78"/>
      <c r="F99" s="78"/>
      <c r="G99" s="78"/>
      <c r="H99" s="78"/>
      <c r="I99" s="78"/>
      <c r="J99" s="78"/>
      <c r="K99" s="78"/>
      <c r="L99" s="79"/>
      <c r="M99" s="80"/>
      <c r="N99" s="6"/>
    </row>
    <row r="100" spans="1:14" ht="15.75">
      <c r="A100" s="76"/>
      <c r="B100" s="78"/>
      <c r="C100" s="78"/>
      <c r="D100" s="78"/>
      <c r="E100" s="78"/>
      <c r="F100" s="78"/>
      <c r="G100" s="78"/>
      <c r="H100" s="78"/>
      <c r="I100" s="78"/>
      <c r="J100" s="78"/>
      <c r="K100" s="78"/>
      <c r="L100" s="79"/>
      <c r="M100" s="78"/>
      <c r="N100" s="6"/>
    </row>
    <row r="101" spans="1:14" ht="15.75">
      <c r="A101" s="7"/>
      <c r="B101" s="165" t="s">
        <v>65</v>
      </c>
      <c r="C101" s="15"/>
      <c r="D101" s="9"/>
      <c r="E101" s="9"/>
      <c r="F101" s="9"/>
      <c r="G101" s="9"/>
      <c r="H101" s="9"/>
      <c r="I101" s="9"/>
      <c r="J101" s="9"/>
      <c r="K101" s="9"/>
      <c r="L101" s="64"/>
      <c r="M101" s="9"/>
      <c r="N101" s="6"/>
    </row>
    <row r="102" spans="1:14" ht="15.75">
      <c r="A102" s="28"/>
      <c r="B102" s="29" t="s">
        <v>66</v>
      </c>
      <c r="C102" s="29"/>
      <c r="D102" s="29"/>
      <c r="E102" s="29"/>
      <c r="F102" s="29"/>
      <c r="G102" s="29"/>
      <c r="H102" s="29"/>
      <c r="I102" s="29"/>
      <c r="J102" s="29"/>
      <c r="K102" s="29"/>
      <c r="L102" s="67">
        <f>10793+400</f>
        <v>11193</v>
      </c>
      <c r="M102" s="29"/>
      <c r="N102" s="6"/>
    </row>
    <row r="103" spans="1:14" ht="15.75">
      <c r="A103" s="28"/>
      <c r="B103" s="29" t="s">
        <v>67</v>
      </c>
      <c r="C103" s="29"/>
      <c r="D103" s="29"/>
      <c r="E103" s="29"/>
      <c r="F103" s="29"/>
      <c r="G103" s="29"/>
      <c r="H103" s="29"/>
      <c r="I103" s="29"/>
      <c r="J103" s="29"/>
      <c r="K103" s="29"/>
      <c r="L103" s="67">
        <v>10793</v>
      </c>
      <c r="M103" s="29"/>
      <c r="N103" s="6"/>
    </row>
    <row r="104" spans="1:14" ht="15.75">
      <c r="A104" s="28"/>
      <c r="B104" s="29" t="s">
        <v>68</v>
      </c>
      <c r="C104" s="29"/>
      <c r="D104" s="29"/>
      <c r="E104" s="29"/>
      <c r="F104" s="29"/>
      <c r="G104" s="29"/>
      <c r="H104" s="29"/>
      <c r="I104" s="29"/>
      <c r="J104" s="29"/>
      <c r="K104" s="29"/>
      <c r="L104" s="67">
        <v>0</v>
      </c>
      <c r="M104" s="29"/>
      <c r="N104" s="6"/>
    </row>
    <row r="105" spans="1:14" ht="15.75">
      <c r="A105" s="28"/>
      <c r="B105" s="29" t="s">
        <v>69</v>
      </c>
      <c r="C105" s="29"/>
      <c r="D105" s="29"/>
      <c r="E105" s="29"/>
      <c r="F105" s="29"/>
      <c r="G105" s="29"/>
      <c r="H105" s="29"/>
      <c r="I105" s="29"/>
      <c r="J105" s="29"/>
      <c r="K105" s="29"/>
      <c r="L105" s="67">
        <v>0</v>
      </c>
      <c r="M105" s="29"/>
      <c r="N105" s="6"/>
    </row>
    <row r="106" spans="1:14" ht="15.75">
      <c r="A106" s="28"/>
      <c r="B106" s="29" t="s">
        <v>70</v>
      </c>
      <c r="C106" s="29"/>
      <c r="D106" s="29"/>
      <c r="E106" s="29"/>
      <c r="F106" s="29"/>
      <c r="G106" s="29"/>
      <c r="H106" s="29"/>
      <c r="I106" s="29"/>
      <c r="J106" s="29"/>
      <c r="K106" s="29"/>
      <c r="L106" s="67">
        <v>0</v>
      </c>
      <c r="M106" s="29"/>
      <c r="N106" s="6"/>
    </row>
    <row r="107" spans="1:14" ht="15.75">
      <c r="A107" s="28"/>
      <c r="B107" s="29" t="s">
        <v>58</v>
      </c>
      <c r="C107" s="29"/>
      <c r="D107" s="29"/>
      <c r="E107" s="29"/>
      <c r="F107" s="29"/>
      <c r="G107" s="29"/>
      <c r="H107" s="29"/>
      <c r="I107" s="29"/>
      <c r="J107" s="29"/>
      <c r="K107" s="29"/>
      <c r="L107" s="67">
        <v>0</v>
      </c>
      <c r="M107" s="29"/>
      <c r="N107" s="6"/>
    </row>
    <row r="108" spans="1:14" ht="15.75">
      <c r="A108" s="28"/>
      <c r="B108" s="29" t="s">
        <v>60</v>
      </c>
      <c r="C108" s="29"/>
      <c r="D108" s="29"/>
      <c r="E108" s="29"/>
      <c r="F108" s="29"/>
      <c r="G108" s="29"/>
      <c r="H108" s="29"/>
      <c r="I108" s="29"/>
      <c r="J108" s="29"/>
      <c r="K108" s="29"/>
      <c r="L108" s="67">
        <v>0</v>
      </c>
      <c r="M108" s="29"/>
      <c r="N108" s="6"/>
    </row>
    <row r="109" spans="1:14" ht="15.75">
      <c r="A109" s="28"/>
      <c r="B109" s="29" t="s">
        <v>61</v>
      </c>
      <c r="C109" s="29"/>
      <c r="D109" s="29"/>
      <c r="E109" s="29"/>
      <c r="F109" s="29"/>
      <c r="G109" s="29"/>
      <c r="H109" s="29"/>
      <c r="I109" s="29"/>
      <c r="J109" s="29"/>
      <c r="K109" s="29"/>
      <c r="L109" s="67">
        <v>0</v>
      </c>
      <c r="M109" s="29"/>
      <c r="N109" s="6"/>
    </row>
    <row r="110" spans="1:14" ht="15.75">
      <c r="A110" s="28"/>
      <c r="B110" s="29" t="s">
        <v>71</v>
      </c>
      <c r="C110" s="29"/>
      <c r="D110" s="29"/>
      <c r="E110" s="29"/>
      <c r="F110" s="29"/>
      <c r="G110" s="29"/>
      <c r="H110" s="29"/>
      <c r="I110" s="29"/>
      <c r="J110" s="29"/>
      <c r="K110" s="29"/>
      <c r="L110" s="67">
        <f>L103</f>
        <v>10793</v>
      </c>
      <c r="M110" s="29"/>
      <c r="N110" s="6"/>
    </row>
    <row r="111" spans="1:14" ht="15.75">
      <c r="A111" s="28"/>
      <c r="B111" s="29"/>
      <c r="C111" s="29"/>
      <c r="D111" s="29"/>
      <c r="E111" s="29"/>
      <c r="F111" s="29"/>
      <c r="G111" s="29"/>
      <c r="H111" s="29"/>
      <c r="I111" s="29"/>
      <c r="J111" s="29"/>
      <c r="K111" s="29"/>
      <c r="L111" s="81"/>
      <c r="M111" s="29"/>
      <c r="N111" s="6"/>
    </row>
    <row r="112" spans="1:14" ht="15.75">
      <c r="A112" s="7"/>
      <c r="B112" s="165" t="s">
        <v>72</v>
      </c>
      <c r="C112" s="15"/>
      <c r="D112" s="9"/>
      <c r="E112" s="9"/>
      <c r="F112" s="9"/>
      <c r="G112" s="157"/>
      <c r="H112" s="9"/>
      <c r="I112" s="9"/>
      <c r="J112" s="9"/>
      <c r="K112" s="9"/>
      <c r="L112" s="83"/>
      <c r="M112" s="9"/>
      <c r="N112" s="6"/>
    </row>
    <row r="113" spans="1:14" ht="15.75">
      <c r="A113" s="7"/>
      <c r="B113" s="15"/>
      <c r="C113" s="19" t="s">
        <v>140</v>
      </c>
      <c r="D113" s="19" t="s">
        <v>150</v>
      </c>
      <c r="E113" s="19" t="s">
        <v>156</v>
      </c>
      <c r="F113" s="19" t="s">
        <v>165</v>
      </c>
      <c r="G113" s="157"/>
      <c r="H113" s="157"/>
      <c r="I113" s="9"/>
      <c r="J113" s="9"/>
      <c r="K113" s="9"/>
      <c r="L113" s="83"/>
      <c r="M113" s="9"/>
      <c r="N113" s="6"/>
    </row>
    <row r="114" spans="1:14" ht="15.75">
      <c r="A114" s="28"/>
      <c r="B114" s="29" t="s">
        <v>73</v>
      </c>
      <c r="C114" s="66">
        <f>E178-'Nov 03'!E178</f>
        <v>426</v>
      </c>
      <c r="D114" s="66">
        <f>J178-'Nov 03'!J178</f>
        <v>159</v>
      </c>
      <c r="E114" s="66">
        <f>E188-'Nov 03'!E188</f>
        <v>-8</v>
      </c>
      <c r="F114" s="66">
        <f>J188-'Nov 03'!J188</f>
        <v>73</v>
      </c>
      <c r="G114" s="156"/>
      <c r="H114" s="156"/>
      <c r="I114" s="29"/>
      <c r="J114" s="29"/>
      <c r="K114" s="29"/>
      <c r="L114" s="67">
        <f>SUM(C114:F114)</f>
        <v>650</v>
      </c>
      <c r="M114" s="29"/>
      <c r="N114" s="6"/>
    </row>
    <row r="115" spans="1:14" ht="15.75">
      <c r="A115" s="28"/>
      <c r="B115" s="29" t="s">
        <v>74</v>
      </c>
      <c r="C115" s="29">
        <f>89+19+43+5</f>
        <v>156</v>
      </c>
      <c r="D115" s="29">
        <v>7</v>
      </c>
      <c r="E115" s="29">
        <v>42</v>
      </c>
      <c r="F115" s="29">
        <f>204+144</f>
        <v>348</v>
      </c>
      <c r="G115" s="156"/>
      <c r="H115" s="156"/>
      <c r="I115" s="29"/>
      <c r="J115" s="29"/>
      <c r="K115" s="29"/>
      <c r="L115" s="67">
        <f>SUM(C115:F115)</f>
        <v>553</v>
      </c>
      <c r="M115" s="29"/>
      <c r="N115" s="6"/>
    </row>
    <row r="116" spans="1:14" ht="15.75">
      <c r="A116" s="28"/>
      <c r="B116" s="29" t="s">
        <v>75</v>
      </c>
      <c r="C116" s="29"/>
      <c r="D116" s="29"/>
      <c r="E116" s="29"/>
      <c r="F116" s="29"/>
      <c r="G116" s="29"/>
      <c r="H116" s="29"/>
      <c r="I116" s="29"/>
      <c r="J116" s="29"/>
      <c r="K116" s="29"/>
      <c r="L116" s="67">
        <f>SUM(L114:L115)</f>
        <v>1203</v>
      </c>
      <c r="M116" s="29"/>
      <c r="N116" s="6"/>
    </row>
    <row r="117" spans="1:14" ht="15.75">
      <c r="A117" s="28"/>
      <c r="B117" s="29" t="s">
        <v>76</v>
      </c>
      <c r="C117" s="66">
        <v>117</v>
      </c>
      <c r="D117" s="29"/>
      <c r="E117" s="29"/>
      <c r="F117" s="29"/>
      <c r="G117" s="29"/>
      <c r="H117" s="29"/>
      <c r="I117" s="29"/>
      <c r="J117" s="29"/>
      <c r="K117" s="29"/>
      <c r="L117" s="85"/>
      <c r="M117" s="29"/>
      <c r="N117" s="6"/>
    </row>
    <row r="118" spans="1:14" ht="15.75">
      <c r="A118" s="7"/>
      <c r="B118" s="165" t="s">
        <v>77</v>
      </c>
      <c r="C118" s="15"/>
      <c r="D118" s="9"/>
      <c r="E118" s="9"/>
      <c r="F118" s="9"/>
      <c r="G118" s="9"/>
      <c r="H118" s="9"/>
      <c r="I118" s="9"/>
      <c r="J118" s="9"/>
      <c r="K118" s="9"/>
      <c r="L118" s="64"/>
      <c r="M118" s="9"/>
      <c r="N118" s="6"/>
    </row>
    <row r="119" spans="1:14" ht="15.75">
      <c r="A119" s="28"/>
      <c r="B119" s="29" t="s">
        <v>78</v>
      </c>
      <c r="C119" s="143"/>
      <c r="D119" s="143"/>
      <c r="E119" s="143"/>
      <c r="F119" s="143"/>
      <c r="G119" s="29"/>
      <c r="H119" s="29"/>
      <c r="I119" s="29"/>
      <c r="J119" s="29"/>
      <c r="K119" s="29"/>
      <c r="L119" s="67">
        <f>L67</f>
        <v>232836</v>
      </c>
      <c r="M119" s="29"/>
      <c r="N119" s="6"/>
    </row>
    <row r="120" spans="1:14" ht="15.75">
      <c r="A120" s="28"/>
      <c r="B120" s="29" t="s">
        <v>79</v>
      </c>
      <c r="C120" s="86"/>
      <c r="D120" s="29"/>
      <c r="E120" s="29"/>
      <c r="F120" s="29"/>
      <c r="G120" s="29"/>
      <c r="H120" s="29"/>
      <c r="I120" s="29"/>
      <c r="J120" s="29"/>
      <c r="K120" s="29"/>
      <c r="L120" s="67">
        <f>L70</f>
        <v>46342</v>
      </c>
      <c r="M120" s="29"/>
      <c r="N120" s="6"/>
    </row>
    <row r="121" spans="1:15" ht="15.75">
      <c r="A121" s="28"/>
      <c r="B121" s="29" t="s">
        <v>80</v>
      </c>
      <c r="C121" s="86"/>
      <c r="D121" s="29"/>
      <c r="E121" s="29"/>
      <c r="F121" s="29"/>
      <c r="G121" s="29"/>
      <c r="H121" s="29"/>
      <c r="I121" s="29"/>
      <c r="J121" s="29"/>
      <c r="K121" s="29"/>
      <c r="L121" s="67">
        <f>L120+L119+L72+L73</f>
        <v>279178</v>
      </c>
      <c r="M121" s="29"/>
      <c r="N121" s="6"/>
      <c r="O121" s="72"/>
    </row>
    <row r="122" spans="1:15" ht="15.75">
      <c r="A122" s="28"/>
      <c r="B122" s="29" t="s">
        <v>81</v>
      </c>
      <c r="C122" s="86"/>
      <c r="D122" s="29"/>
      <c r="E122" s="29"/>
      <c r="F122" s="29"/>
      <c r="G122" s="29"/>
      <c r="H122" s="29"/>
      <c r="I122" s="29"/>
      <c r="J122" s="29"/>
      <c r="K122" s="29"/>
      <c r="L122" s="67">
        <f>L74</f>
        <v>251000</v>
      </c>
      <c r="M122" s="29"/>
      <c r="N122" s="6"/>
      <c r="O122" s="72"/>
    </row>
    <row r="123" spans="1:14" ht="15.75">
      <c r="A123" s="28"/>
      <c r="B123" s="29"/>
      <c r="C123" s="29"/>
      <c r="D123" s="29"/>
      <c r="E123" s="29"/>
      <c r="F123" s="29"/>
      <c r="G123" s="29"/>
      <c r="H123" s="29"/>
      <c r="I123" s="29"/>
      <c r="J123" s="29"/>
      <c r="K123" s="29"/>
      <c r="L123" s="85"/>
      <c r="M123" s="29"/>
      <c r="N123" s="6"/>
    </row>
    <row r="124" spans="1:14" ht="15.75">
      <c r="A124" s="7"/>
      <c r="B124" s="165" t="s">
        <v>82</v>
      </c>
      <c r="C124" s="158"/>
      <c r="D124" s="158"/>
      <c r="E124" s="158"/>
      <c r="F124" s="158"/>
      <c r="G124" s="158"/>
      <c r="H124" s="159" t="s">
        <v>176</v>
      </c>
      <c r="I124" s="166"/>
      <c r="J124" s="159" t="s">
        <v>179</v>
      </c>
      <c r="K124" s="158"/>
      <c r="L124" s="167" t="s">
        <v>131</v>
      </c>
      <c r="M124" s="177"/>
      <c r="N124" s="6"/>
    </row>
    <row r="125" spans="1:14" ht="15.75">
      <c r="A125" s="28"/>
      <c r="B125" s="29" t="s">
        <v>83</v>
      </c>
      <c r="C125" s="29"/>
      <c r="D125" s="29"/>
      <c r="E125" s="29"/>
      <c r="F125" s="29"/>
      <c r="G125" s="29"/>
      <c r="H125" s="67">
        <v>0</v>
      </c>
      <c r="I125" s="29"/>
      <c r="J125" s="89" t="s">
        <v>180</v>
      </c>
      <c r="K125" s="29"/>
      <c r="L125" s="67">
        <f>H125</f>
        <v>0</v>
      </c>
      <c r="M125" s="29"/>
      <c r="N125" s="6"/>
    </row>
    <row r="126" spans="1:14" ht="15.75">
      <c r="A126" s="28"/>
      <c r="B126" s="29" t="s">
        <v>84</v>
      </c>
      <c r="C126" s="29"/>
      <c r="D126" s="29"/>
      <c r="E126" s="29"/>
      <c r="F126" s="29"/>
      <c r="G126" s="29"/>
      <c r="H126" s="67">
        <f>+'Nov 03'!H128</f>
        <v>78</v>
      </c>
      <c r="I126" s="29"/>
      <c r="J126" s="89" t="s">
        <v>180</v>
      </c>
      <c r="K126" s="29"/>
      <c r="L126" s="67">
        <f>H126</f>
        <v>78</v>
      </c>
      <c r="M126" s="29"/>
      <c r="N126" s="6"/>
    </row>
    <row r="127" spans="1:14" ht="15.75">
      <c r="A127" s="28"/>
      <c r="B127" s="29" t="s">
        <v>85</v>
      </c>
      <c r="C127" s="29"/>
      <c r="D127" s="29"/>
      <c r="E127" s="29"/>
      <c r="F127" s="29"/>
      <c r="G127" s="29"/>
      <c r="H127" s="67">
        <v>113</v>
      </c>
      <c r="I127" s="29"/>
      <c r="J127" s="89" t="s">
        <v>180</v>
      </c>
      <c r="K127" s="29"/>
      <c r="L127" s="67">
        <f>H127</f>
        <v>113</v>
      </c>
      <c r="M127" s="29"/>
      <c r="N127" s="6"/>
    </row>
    <row r="128" spans="1:14" ht="15.75">
      <c r="A128" s="28"/>
      <c r="B128" s="29" t="s">
        <v>86</v>
      </c>
      <c r="C128" s="29"/>
      <c r="D128" s="29"/>
      <c r="E128" s="29"/>
      <c r="F128" s="29"/>
      <c r="G128" s="29"/>
      <c r="H128" s="67">
        <f>SUM(H126:H127)</f>
        <v>191</v>
      </c>
      <c r="I128" s="29"/>
      <c r="J128" s="89" t="s">
        <v>180</v>
      </c>
      <c r="K128" s="29"/>
      <c r="L128" s="67">
        <f>H128</f>
        <v>191</v>
      </c>
      <c r="M128" s="29"/>
      <c r="N128" s="6"/>
    </row>
    <row r="129" spans="1:14" ht="15.75">
      <c r="A129" s="28"/>
      <c r="B129" s="29" t="s">
        <v>87</v>
      </c>
      <c r="C129" s="29"/>
      <c r="D129" s="29"/>
      <c r="E129" s="29"/>
      <c r="F129" s="29"/>
      <c r="G129" s="29"/>
      <c r="H129" s="67">
        <v>0</v>
      </c>
      <c r="I129" s="29"/>
      <c r="J129" s="89" t="s">
        <v>180</v>
      </c>
      <c r="K129" s="29"/>
      <c r="L129" s="67">
        <f>H129</f>
        <v>0</v>
      </c>
      <c r="M129" s="29"/>
      <c r="N129" s="6"/>
    </row>
    <row r="130" spans="1:14" ht="15.75">
      <c r="A130" s="28"/>
      <c r="B130" s="29"/>
      <c r="C130" s="29"/>
      <c r="D130" s="29"/>
      <c r="E130" s="29"/>
      <c r="F130" s="29"/>
      <c r="G130" s="29"/>
      <c r="H130" s="29"/>
      <c r="I130" s="29"/>
      <c r="J130" s="29"/>
      <c r="K130" s="29"/>
      <c r="L130" s="29"/>
      <c r="M130" s="29"/>
      <c r="N130" s="6"/>
    </row>
    <row r="131" spans="1:14" ht="15.75">
      <c r="A131" s="28"/>
      <c r="B131" s="32"/>
      <c r="C131" s="32"/>
      <c r="D131" s="32"/>
      <c r="E131" s="32"/>
      <c r="F131" s="32"/>
      <c r="G131" s="32"/>
      <c r="H131" s="32"/>
      <c r="I131" s="32"/>
      <c r="J131" s="32"/>
      <c r="K131" s="32"/>
      <c r="L131" s="32"/>
      <c r="M131" s="32"/>
      <c r="N131" s="6"/>
    </row>
    <row r="132" spans="1:14" ht="15.75">
      <c r="A132" s="90"/>
      <c r="B132" s="63" t="s">
        <v>88</v>
      </c>
      <c r="C132" s="91"/>
      <c r="D132" s="91"/>
      <c r="E132" s="91"/>
      <c r="F132" s="91"/>
      <c r="G132" s="21"/>
      <c r="H132" s="21"/>
      <c r="I132" s="21"/>
      <c r="J132" s="21">
        <v>38044</v>
      </c>
      <c r="K132" s="17"/>
      <c r="L132" s="17"/>
      <c r="M132" s="9"/>
      <c r="N132" s="6"/>
    </row>
    <row r="133" spans="1:14" ht="15.75">
      <c r="A133" s="92"/>
      <c r="B133" s="93" t="s">
        <v>89</v>
      </c>
      <c r="C133" s="94"/>
      <c r="D133" s="94"/>
      <c r="E133" s="94"/>
      <c r="F133" s="94"/>
      <c r="G133" s="95"/>
      <c r="H133" s="95"/>
      <c r="I133" s="95"/>
      <c r="J133" s="96">
        <v>0.1226</v>
      </c>
      <c r="K133" s="29"/>
      <c r="L133" s="29"/>
      <c r="M133" s="29"/>
      <c r="N133" s="6"/>
    </row>
    <row r="134" spans="1:14" ht="15.75">
      <c r="A134" s="92"/>
      <c r="B134" s="93" t="s">
        <v>90</v>
      </c>
      <c r="C134" s="94"/>
      <c r="D134" s="94"/>
      <c r="E134" s="94"/>
      <c r="F134" s="94"/>
      <c r="G134" s="95"/>
      <c r="H134" s="95"/>
      <c r="I134" s="95"/>
      <c r="J134" s="96">
        <v>0.0582</v>
      </c>
      <c r="K134" s="96"/>
      <c r="L134" s="29"/>
      <c r="M134" s="29"/>
      <c r="N134" s="6"/>
    </row>
    <row r="135" spans="1:14" ht="15.75">
      <c r="A135" s="92"/>
      <c r="B135" s="93" t="s">
        <v>91</v>
      </c>
      <c r="C135" s="94"/>
      <c r="D135" s="94"/>
      <c r="E135" s="94"/>
      <c r="F135" s="94"/>
      <c r="G135" s="95"/>
      <c r="H135" s="95"/>
      <c r="I135" s="95"/>
      <c r="J135" s="96">
        <f>J133-J134</f>
        <v>0.0644</v>
      </c>
      <c r="K135" s="29"/>
      <c r="L135" s="29"/>
      <c r="M135" s="29"/>
      <c r="N135" s="6"/>
    </row>
    <row r="136" spans="1:14" ht="15.75">
      <c r="A136" s="92"/>
      <c r="B136" s="93" t="s">
        <v>92</v>
      </c>
      <c r="C136" s="94"/>
      <c r="D136" s="94"/>
      <c r="E136" s="94"/>
      <c r="F136" s="94"/>
      <c r="G136" s="95"/>
      <c r="H136" s="95"/>
      <c r="I136" s="95"/>
      <c r="J136" s="96">
        <v>0.1107</v>
      </c>
      <c r="K136" s="29"/>
      <c r="L136" s="29"/>
      <c r="M136" s="29"/>
      <c r="N136" s="6"/>
    </row>
    <row r="137" spans="1:14" ht="15.75">
      <c r="A137" s="92"/>
      <c r="B137" s="93" t="s">
        <v>93</v>
      </c>
      <c r="C137" s="94"/>
      <c r="D137" s="94"/>
      <c r="E137" s="94"/>
      <c r="F137" s="94"/>
      <c r="G137" s="95"/>
      <c r="H137" s="95"/>
      <c r="I137" s="95"/>
      <c r="J137" s="96">
        <f>L32</f>
        <v>0.04592677888446216</v>
      </c>
      <c r="K137" s="29"/>
      <c r="L137" s="29"/>
      <c r="M137" s="29"/>
      <c r="N137" s="6"/>
    </row>
    <row r="138" spans="1:14" ht="15.75">
      <c r="A138" s="92"/>
      <c r="B138" s="93" t="s">
        <v>94</v>
      </c>
      <c r="C138" s="94"/>
      <c r="D138" s="94"/>
      <c r="E138" s="94"/>
      <c r="F138" s="94"/>
      <c r="G138" s="95"/>
      <c r="H138" s="95"/>
      <c r="I138" s="95"/>
      <c r="J138" s="96">
        <f>J136-J137</f>
        <v>0.06477322111553785</v>
      </c>
      <c r="K138" s="29"/>
      <c r="L138" s="29"/>
      <c r="M138" s="29"/>
      <c r="N138" s="6"/>
    </row>
    <row r="139" spans="1:14" ht="15.75">
      <c r="A139" s="92"/>
      <c r="B139" s="93" t="s">
        <v>95</v>
      </c>
      <c r="C139" s="94"/>
      <c r="D139" s="94"/>
      <c r="E139" s="94"/>
      <c r="F139" s="94"/>
      <c r="G139" s="95"/>
      <c r="H139" s="95"/>
      <c r="I139" s="95"/>
      <c r="J139" s="96" t="s">
        <v>181</v>
      </c>
      <c r="K139" s="29"/>
      <c r="L139" s="29"/>
      <c r="M139" s="29"/>
      <c r="N139" s="6"/>
    </row>
    <row r="140" spans="1:14" ht="15.75">
      <c r="A140" s="92"/>
      <c r="B140" s="93" t="s">
        <v>96</v>
      </c>
      <c r="C140" s="94"/>
      <c r="D140" s="94"/>
      <c r="E140" s="94"/>
      <c r="F140" s="94"/>
      <c r="G140" s="95"/>
      <c r="H140" s="95"/>
      <c r="I140" s="95"/>
      <c r="J140" s="96" t="s">
        <v>182</v>
      </c>
      <c r="K140" s="29"/>
      <c r="L140" s="29"/>
      <c r="M140" s="29"/>
      <c r="N140" s="6"/>
    </row>
    <row r="141" spans="1:14" ht="15.75">
      <c r="A141" s="92"/>
      <c r="B141" s="93" t="s">
        <v>97</v>
      </c>
      <c r="C141" s="94"/>
      <c r="D141" s="94"/>
      <c r="E141" s="94"/>
      <c r="F141" s="94"/>
      <c r="G141" s="95"/>
      <c r="H141" s="95"/>
      <c r="I141" s="95"/>
      <c r="J141" s="96" t="s">
        <v>183</v>
      </c>
      <c r="K141" s="29"/>
      <c r="L141" s="29"/>
      <c r="M141" s="29"/>
      <c r="N141" s="6"/>
    </row>
    <row r="142" spans="1:14" ht="15.75">
      <c r="A142" s="92"/>
      <c r="B142" s="93" t="s">
        <v>98</v>
      </c>
      <c r="C142" s="94"/>
      <c r="D142" s="94"/>
      <c r="E142" s="94"/>
      <c r="F142" s="94"/>
      <c r="G142" s="95"/>
      <c r="H142" s="95"/>
      <c r="I142" s="95"/>
      <c r="J142" s="97">
        <v>4.08</v>
      </c>
      <c r="K142" s="29"/>
      <c r="L142" s="29"/>
      <c r="M142" s="29"/>
      <c r="N142" s="6"/>
    </row>
    <row r="143" spans="1:14" ht="15.75">
      <c r="A143" s="92"/>
      <c r="B143" s="93" t="s">
        <v>99</v>
      </c>
      <c r="C143" s="94"/>
      <c r="D143" s="94"/>
      <c r="E143" s="94"/>
      <c r="F143" s="94"/>
      <c r="G143" s="95"/>
      <c r="H143" s="95"/>
      <c r="I143" s="95"/>
      <c r="J143" s="97">
        <v>7.68</v>
      </c>
      <c r="K143" s="29"/>
      <c r="L143" s="29"/>
      <c r="M143" s="29"/>
      <c r="N143" s="6"/>
    </row>
    <row r="144" spans="1:14" ht="15.75">
      <c r="A144" s="92"/>
      <c r="B144" s="93" t="s">
        <v>100</v>
      </c>
      <c r="C144" s="94"/>
      <c r="D144" s="94"/>
      <c r="E144" s="94"/>
      <c r="F144" s="94"/>
      <c r="G144" s="95"/>
      <c r="H144" s="95"/>
      <c r="I144" s="95"/>
      <c r="J144" s="96">
        <v>0.1523</v>
      </c>
      <c r="K144" s="29"/>
      <c r="L144" s="29"/>
      <c r="M144" s="29"/>
      <c r="N144" s="6"/>
    </row>
    <row r="145" spans="1:14" ht="15.75">
      <c r="A145" s="92"/>
      <c r="B145" s="93" t="s">
        <v>101</v>
      </c>
      <c r="C145" s="94"/>
      <c r="D145" s="94"/>
      <c r="E145" s="94"/>
      <c r="F145" s="94"/>
      <c r="G145" s="95"/>
      <c r="H145" s="95"/>
      <c r="I145" s="95"/>
      <c r="J145" s="96">
        <v>0.4616</v>
      </c>
      <c r="K145" s="29"/>
      <c r="L145" s="29"/>
      <c r="M145" s="29"/>
      <c r="N145" s="6"/>
    </row>
    <row r="146" spans="1:14" ht="15.75">
      <c r="A146" s="92"/>
      <c r="B146" s="93"/>
      <c r="C146" s="93"/>
      <c r="D146" s="93"/>
      <c r="E146" s="93"/>
      <c r="F146" s="93"/>
      <c r="G146" s="29"/>
      <c r="H146" s="29"/>
      <c r="I146" s="36"/>
      <c r="J146" s="98"/>
      <c r="K146" s="29"/>
      <c r="L146" s="99"/>
      <c r="M146" s="29"/>
      <c r="N146" s="6"/>
    </row>
    <row r="147" spans="1:14" ht="15.75">
      <c r="A147" s="90"/>
      <c r="B147" s="100"/>
      <c r="C147" s="100"/>
      <c r="D147" s="100"/>
      <c r="E147" s="100"/>
      <c r="F147" s="100"/>
      <c r="G147" s="9"/>
      <c r="H147" s="9"/>
      <c r="I147" s="22"/>
      <c r="J147" s="101"/>
      <c r="K147" s="9"/>
      <c r="L147" s="102"/>
      <c r="M147" s="9"/>
      <c r="N147" s="6"/>
    </row>
    <row r="148" spans="1:14" ht="16.5" thickBot="1">
      <c r="A148" s="150"/>
      <c r="B148" s="145" t="str">
        <f>B97</f>
        <v>PPAF1 INVESTOR REPORT QUARTER ENDING FEBRUARY 2004</v>
      </c>
      <c r="C148" s="151"/>
      <c r="D148" s="151"/>
      <c r="E148" s="151"/>
      <c r="F148" s="151"/>
      <c r="G148" s="146"/>
      <c r="H148" s="146"/>
      <c r="I148" s="152"/>
      <c r="J148" s="153"/>
      <c r="K148" s="146"/>
      <c r="L148" s="154"/>
      <c r="M148" s="148"/>
      <c r="N148" s="6"/>
    </row>
    <row r="149" spans="1:14" ht="15.75">
      <c r="A149" s="103"/>
      <c r="B149" s="104" t="s">
        <v>102</v>
      </c>
      <c r="C149" s="105"/>
      <c r="D149" s="106"/>
      <c r="E149" s="105"/>
      <c r="F149" s="106"/>
      <c r="G149" s="105"/>
      <c r="H149" s="106"/>
      <c r="I149" s="105" t="s">
        <v>141</v>
      </c>
      <c r="J149" s="106" t="s">
        <v>184</v>
      </c>
      <c r="K149" s="107"/>
      <c r="L149" s="107"/>
      <c r="M149" s="5"/>
      <c r="N149" s="6"/>
    </row>
    <row r="150" spans="1:14" ht="15.75">
      <c r="A150" s="108"/>
      <c r="B150" s="93" t="s">
        <v>103</v>
      </c>
      <c r="C150" s="68"/>
      <c r="D150" s="68"/>
      <c r="E150" s="68"/>
      <c r="F150" s="29"/>
      <c r="G150" s="29"/>
      <c r="H150" s="29"/>
      <c r="I150" s="29">
        <v>882</v>
      </c>
      <c r="J150" s="67">
        <v>5616</v>
      </c>
      <c r="K150" s="67"/>
      <c r="L150" s="99"/>
      <c r="M150" s="109"/>
      <c r="N150" s="6"/>
    </row>
    <row r="151" spans="1:14" ht="15.75">
      <c r="A151" s="108"/>
      <c r="B151" s="93" t="s">
        <v>104</v>
      </c>
      <c r="C151" s="68"/>
      <c r="D151" s="68"/>
      <c r="E151" s="68"/>
      <c r="F151" s="29"/>
      <c r="G151" s="29"/>
      <c r="H151" s="29"/>
      <c r="I151" s="29">
        <v>6</v>
      </c>
      <c r="J151" s="67">
        <v>55</v>
      </c>
      <c r="K151" s="67"/>
      <c r="L151" s="99"/>
      <c r="M151" s="109"/>
      <c r="N151" s="6"/>
    </row>
    <row r="152" spans="1:14" ht="15.75">
      <c r="A152" s="108"/>
      <c r="B152" s="168" t="s">
        <v>105</v>
      </c>
      <c r="C152" s="68"/>
      <c r="D152" s="68"/>
      <c r="E152" s="68"/>
      <c r="F152" s="29"/>
      <c r="G152" s="29"/>
      <c r="H152" s="29"/>
      <c r="I152" s="29"/>
      <c r="J152" s="110">
        <v>0</v>
      </c>
      <c r="K152" s="29"/>
      <c r="L152" s="99"/>
      <c r="M152" s="109"/>
      <c r="N152" s="6"/>
    </row>
    <row r="153" spans="1:14" ht="15.75">
      <c r="A153" s="108"/>
      <c r="B153" s="168" t="s">
        <v>106</v>
      </c>
      <c r="C153" s="68"/>
      <c r="D153" s="68"/>
      <c r="E153" s="68"/>
      <c r="F153" s="29"/>
      <c r="G153" s="29"/>
      <c r="H153" s="29"/>
      <c r="I153" s="29"/>
      <c r="J153" s="67">
        <f>H67</f>
        <v>38377</v>
      </c>
      <c r="K153" s="29"/>
      <c r="L153" s="99"/>
      <c r="M153" s="109"/>
      <c r="N153" s="6"/>
    </row>
    <row r="154" spans="1:14" ht="15.75">
      <c r="A154" s="111"/>
      <c r="B154" s="168" t="s">
        <v>107</v>
      </c>
      <c r="C154" s="68"/>
      <c r="D154" s="93"/>
      <c r="E154" s="93"/>
      <c r="F154" s="93"/>
      <c r="G154" s="29"/>
      <c r="H154" s="29"/>
      <c r="I154" s="29"/>
      <c r="J154" s="112"/>
      <c r="K154" s="29"/>
      <c r="L154" s="99"/>
      <c r="M154" s="113"/>
      <c r="N154" s="6"/>
    </row>
    <row r="155" spans="1:14" ht="15.75">
      <c r="A155" s="108"/>
      <c r="B155" s="93" t="s">
        <v>108</v>
      </c>
      <c r="C155" s="68"/>
      <c r="D155" s="68"/>
      <c r="E155" s="68"/>
      <c r="F155" s="68"/>
      <c r="G155" s="29"/>
      <c r="H155" s="29"/>
      <c r="I155" s="29"/>
      <c r="J155" s="67">
        <f>L116</f>
        <v>1203</v>
      </c>
      <c r="K155" s="29"/>
      <c r="L155" s="99"/>
      <c r="M155" s="113"/>
      <c r="N155" s="6"/>
    </row>
    <row r="156" spans="1:14" ht="15.75">
      <c r="A156" s="108"/>
      <c r="B156" s="93" t="s">
        <v>109</v>
      </c>
      <c r="C156" s="68"/>
      <c r="D156" s="68"/>
      <c r="E156" s="68"/>
      <c r="F156" s="68"/>
      <c r="G156" s="29"/>
      <c r="H156" s="29"/>
      <c r="I156" s="29"/>
      <c r="J156" s="67">
        <f>L116+'Nov 03'!J156</f>
        <v>20001</v>
      </c>
      <c r="K156" s="29"/>
      <c r="L156" s="99"/>
      <c r="M156" s="113"/>
      <c r="N156" s="6"/>
    </row>
    <row r="157" spans="1:14" ht="15.75">
      <c r="A157" s="108"/>
      <c r="B157" s="93" t="s">
        <v>110</v>
      </c>
      <c r="C157" s="68"/>
      <c r="D157" s="68"/>
      <c r="E157" s="68"/>
      <c r="F157" s="68"/>
      <c r="G157" s="29"/>
      <c r="H157" s="29"/>
      <c r="I157" s="29"/>
      <c r="J157" s="67"/>
      <c r="K157" s="29"/>
      <c r="L157" s="99"/>
      <c r="M157" s="113"/>
      <c r="N157" s="6"/>
    </row>
    <row r="158" spans="1:14" ht="15.75">
      <c r="A158" s="108"/>
      <c r="B158" s="93"/>
      <c r="C158" s="68"/>
      <c r="D158" s="68"/>
      <c r="E158" s="68"/>
      <c r="F158" s="68"/>
      <c r="G158" s="29"/>
      <c r="H158" s="29"/>
      <c r="I158" s="29"/>
      <c r="J158" s="67"/>
      <c r="K158" s="29"/>
      <c r="L158" s="99"/>
      <c r="M158" s="113"/>
      <c r="N158" s="6"/>
    </row>
    <row r="159" spans="1:14" ht="15.75">
      <c r="A159" s="111"/>
      <c r="B159" s="168" t="s">
        <v>111</v>
      </c>
      <c r="C159" s="68"/>
      <c r="D159" s="93"/>
      <c r="E159" s="93"/>
      <c r="F159" s="93"/>
      <c r="G159" s="29"/>
      <c r="H159" s="29"/>
      <c r="I159" s="29"/>
      <c r="J159" s="89"/>
      <c r="K159" s="29"/>
      <c r="L159" s="99"/>
      <c r="M159" s="113"/>
      <c r="N159" s="6"/>
    </row>
    <row r="160" spans="1:14" ht="15.75">
      <c r="A160" s="111"/>
      <c r="B160" s="93" t="s">
        <v>112</v>
      </c>
      <c r="C160" s="68"/>
      <c r="D160" s="93"/>
      <c r="E160" s="93"/>
      <c r="F160" s="93"/>
      <c r="G160" s="29"/>
      <c r="H160" s="29"/>
      <c r="I160" s="29"/>
      <c r="J160" s="89">
        <v>0</v>
      </c>
      <c r="K160" s="29"/>
      <c r="L160" s="99"/>
      <c r="M160" s="113"/>
      <c r="N160" s="6"/>
    </row>
    <row r="161" spans="1:14" ht="15.75">
      <c r="A161" s="108"/>
      <c r="B161" s="93" t="s">
        <v>113</v>
      </c>
      <c r="C161" s="68"/>
      <c r="D161" s="114"/>
      <c r="E161" s="114"/>
      <c r="F161" s="115"/>
      <c r="G161" s="29"/>
      <c r="H161" s="29"/>
      <c r="I161" s="29"/>
      <c r="J161" s="89">
        <v>0</v>
      </c>
      <c r="K161" s="29"/>
      <c r="L161" s="99"/>
      <c r="M161" s="113"/>
      <c r="N161" s="6"/>
    </row>
    <row r="162" spans="1:14" ht="15.75">
      <c r="A162" s="108"/>
      <c r="B162" s="93" t="s">
        <v>114</v>
      </c>
      <c r="C162" s="68"/>
      <c r="D162" s="114"/>
      <c r="E162" s="114"/>
      <c r="F162" s="115"/>
      <c r="G162" s="29"/>
      <c r="H162" s="29"/>
      <c r="I162" s="29"/>
      <c r="J162" s="89">
        <v>0</v>
      </c>
      <c r="K162" s="29"/>
      <c r="L162" s="99"/>
      <c r="M162" s="113"/>
      <c r="N162" s="6"/>
    </row>
    <row r="163" spans="1:14" ht="15.75">
      <c r="A163" s="108"/>
      <c r="B163" s="93" t="s">
        <v>115</v>
      </c>
      <c r="C163" s="68"/>
      <c r="D163" s="116"/>
      <c r="E163" s="114"/>
      <c r="F163" s="115"/>
      <c r="G163" s="29"/>
      <c r="H163" s="29"/>
      <c r="I163" s="29"/>
      <c r="J163" s="89">
        <v>0</v>
      </c>
      <c r="K163" s="29"/>
      <c r="L163" s="99"/>
      <c r="M163" s="113"/>
      <c r="N163" s="6"/>
    </row>
    <row r="164" spans="1:14" ht="15.75">
      <c r="A164" s="108"/>
      <c r="B164" s="93"/>
      <c r="C164" s="68"/>
      <c r="D164" s="116"/>
      <c r="E164" s="114"/>
      <c r="F164" s="115"/>
      <c r="G164" s="29"/>
      <c r="H164" s="29"/>
      <c r="I164" s="29"/>
      <c r="J164" s="89"/>
      <c r="K164" s="29"/>
      <c r="L164" s="99"/>
      <c r="M164" s="113"/>
      <c r="N164" s="6"/>
    </row>
    <row r="165" spans="1:14" ht="15.75">
      <c r="A165" s="108"/>
      <c r="B165" s="168" t="s">
        <v>116</v>
      </c>
      <c r="C165" s="68"/>
      <c r="D165" s="68"/>
      <c r="E165" s="116"/>
      <c r="F165" s="114"/>
      <c r="G165" s="115"/>
      <c r="H165" s="29"/>
      <c r="I165" s="36"/>
      <c r="J165" s="36"/>
      <c r="K165" s="117"/>
      <c r="L165" s="36"/>
      <c r="M165" s="99"/>
      <c r="N165" s="6"/>
    </row>
    <row r="166" spans="1:14" ht="15.75">
      <c r="A166" s="108"/>
      <c r="B166" s="93" t="s">
        <v>117</v>
      </c>
      <c r="C166" s="68"/>
      <c r="D166" s="68"/>
      <c r="E166" s="116"/>
      <c r="F166" s="114"/>
      <c r="G166" s="115"/>
      <c r="H166" s="29"/>
      <c r="I166" s="36"/>
      <c r="J166" s="118">
        <v>116</v>
      </c>
      <c r="K166" s="118"/>
      <c r="L166" s="36"/>
      <c r="M166" s="99"/>
      <c r="N166" s="6"/>
    </row>
    <row r="167" spans="1:14" ht="15.75">
      <c r="A167" s="108"/>
      <c r="B167" s="93" t="s">
        <v>113</v>
      </c>
      <c r="C167" s="68"/>
      <c r="D167" s="68"/>
      <c r="E167" s="116"/>
      <c r="F167" s="114"/>
      <c r="G167" s="115"/>
      <c r="H167" s="29"/>
      <c r="I167" s="36"/>
      <c r="J167" s="118">
        <v>1.73</v>
      </c>
      <c r="K167" s="118"/>
      <c r="L167" s="36"/>
      <c r="M167" s="99"/>
      <c r="N167" s="6"/>
    </row>
    <row r="168" spans="1:14" ht="15.75">
      <c r="A168" s="108"/>
      <c r="B168" s="93" t="s">
        <v>118</v>
      </c>
      <c r="C168" s="68"/>
      <c r="D168" s="68"/>
      <c r="E168" s="116"/>
      <c r="F168" s="114"/>
      <c r="G168" s="115"/>
      <c r="H168" s="29"/>
      <c r="I168" s="36"/>
      <c r="J168" s="118">
        <v>41</v>
      </c>
      <c r="K168" s="118"/>
      <c r="L168" s="36"/>
      <c r="M168" s="99"/>
      <c r="N168" s="6"/>
    </row>
    <row r="169" spans="1:14" ht="15.75">
      <c r="A169" s="108"/>
      <c r="B169" s="93"/>
      <c r="C169" s="68"/>
      <c r="D169" s="116"/>
      <c r="E169" s="114"/>
      <c r="F169" s="115"/>
      <c r="G169" s="29"/>
      <c r="H169" s="29"/>
      <c r="I169" s="29"/>
      <c r="J169" s="89"/>
      <c r="K169" s="29"/>
      <c r="L169" s="99"/>
      <c r="M169" s="113"/>
      <c r="N169" s="6"/>
    </row>
    <row r="170" spans="1:14" ht="15.75">
      <c r="A170" s="28"/>
      <c r="B170" s="119" t="s">
        <v>119</v>
      </c>
      <c r="C170" s="120"/>
      <c r="D170" s="121"/>
      <c r="E170" s="120"/>
      <c r="F170" s="121"/>
      <c r="G170" s="120"/>
      <c r="H170" s="121"/>
      <c r="I170" s="120"/>
      <c r="J170" s="121"/>
      <c r="K170" s="120"/>
      <c r="L170" s="122"/>
      <c r="M170" s="113"/>
      <c r="N170" s="6"/>
    </row>
    <row r="171" spans="1:14" ht="15.75">
      <c r="A171" s="28"/>
      <c r="B171" s="33"/>
      <c r="C171" s="156"/>
      <c r="D171" s="119" t="s">
        <v>151</v>
      </c>
      <c r="E171" s="120"/>
      <c r="F171" s="121"/>
      <c r="G171" s="120"/>
      <c r="H171" s="119" t="s">
        <v>39</v>
      </c>
      <c r="I171" s="120"/>
      <c r="J171" s="121"/>
      <c r="K171" s="120"/>
      <c r="L171" s="122"/>
      <c r="M171" s="113"/>
      <c r="N171" s="6"/>
    </row>
    <row r="172" spans="1:14" ht="15.75">
      <c r="A172" s="28"/>
      <c r="B172" s="156"/>
      <c r="C172" s="121" t="s">
        <v>141</v>
      </c>
      <c r="D172" s="120" t="s">
        <v>152</v>
      </c>
      <c r="E172" s="121" t="s">
        <v>157</v>
      </c>
      <c r="F172" s="120" t="s">
        <v>152</v>
      </c>
      <c r="G172" s="120"/>
      <c r="H172" s="121" t="s">
        <v>141</v>
      </c>
      <c r="I172" s="120" t="s">
        <v>152</v>
      </c>
      <c r="J172" s="121" t="s">
        <v>157</v>
      </c>
      <c r="K172" s="120" t="s">
        <v>152</v>
      </c>
      <c r="L172" s="122"/>
      <c r="M172" s="113"/>
      <c r="N172" s="6"/>
    </row>
    <row r="173" spans="1:14" ht="15.75">
      <c r="A173" s="28"/>
      <c r="B173" s="68" t="s">
        <v>120</v>
      </c>
      <c r="C173" s="123">
        <v>5428</v>
      </c>
      <c r="D173" s="96">
        <f>C173/C177</f>
        <v>0.8355911330049262</v>
      </c>
      <c r="E173" s="123">
        <v>30242</v>
      </c>
      <c r="F173" s="96">
        <f>E173/E177</f>
        <v>0.828298321053929</v>
      </c>
      <c r="G173" s="120"/>
      <c r="H173" s="123">
        <v>25657</v>
      </c>
      <c r="I173" s="96">
        <f>H173/H177</f>
        <v>0.9222501797268152</v>
      </c>
      <c r="J173" s="123">
        <v>20233</v>
      </c>
      <c r="K173" s="96">
        <f>J173/J177</f>
        <v>0.9245990037928986</v>
      </c>
      <c r="L173" s="122"/>
      <c r="M173" s="113"/>
      <c r="N173" s="6"/>
    </row>
    <row r="174" spans="1:14" ht="15.75">
      <c r="A174" s="28"/>
      <c r="B174" s="68" t="s">
        <v>121</v>
      </c>
      <c r="C174" s="123">
        <v>139</v>
      </c>
      <c r="D174" s="96">
        <f>C174/$C$177</f>
        <v>0.02139778325123153</v>
      </c>
      <c r="E174" s="123">
        <v>846</v>
      </c>
      <c r="F174" s="96">
        <f>E174/$E$177</f>
        <v>0.023171099120812905</v>
      </c>
      <c r="G174" s="120"/>
      <c r="H174" s="123">
        <v>261</v>
      </c>
      <c r="I174" s="96">
        <f>H174/$H$177</f>
        <v>0.00938173975557153</v>
      </c>
      <c r="J174" s="123">
        <v>153</v>
      </c>
      <c r="K174" s="96">
        <f>J174/$J$177</f>
        <v>0.006991728739203948</v>
      </c>
      <c r="L174" s="122"/>
      <c r="M174" s="113"/>
      <c r="N174" s="6"/>
    </row>
    <row r="175" spans="1:14" ht="15.75">
      <c r="A175" s="28"/>
      <c r="B175" s="68" t="s">
        <v>122</v>
      </c>
      <c r="C175" s="123">
        <v>125</v>
      </c>
      <c r="D175" s="96">
        <f>C175/$C$177</f>
        <v>0.019242610837438424</v>
      </c>
      <c r="E175" s="123">
        <v>818</v>
      </c>
      <c r="F175" s="96">
        <f>E175/$E$177</f>
        <v>0.022404206951329737</v>
      </c>
      <c r="G175" s="120"/>
      <c r="H175" s="123">
        <v>233</v>
      </c>
      <c r="I175" s="96">
        <f>H175/$H$177</f>
        <v>0.008375269590222861</v>
      </c>
      <c r="J175" s="123">
        <v>135</v>
      </c>
      <c r="K175" s="96">
        <f>J175/$J$177</f>
        <v>0.00616917241694466</v>
      </c>
      <c r="L175" s="122"/>
      <c r="M175" s="113"/>
      <c r="N175" s="6"/>
    </row>
    <row r="176" spans="1:16" ht="15.75">
      <c r="A176" s="28"/>
      <c r="B176" s="68" t="s">
        <v>123</v>
      </c>
      <c r="C176" s="123">
        <v>804</v>
      </c>
      <c r="D176" s="96">
        <f>C176/$C$177</f>
        <v>0.12376847290640394</v>
      </c>
      <c r="E176" s="123">
        <v>4605</v>
      </c>
      <c r="F176" s="96">
        <f>E176/$E$177</f>
        <v>0.12612637287392842</v>
      </c>
      <c r="G176" s="120"/>
      <c r="H176" s="123">
        <v>1669</v>
      </c>
      <c r="I176" s="96">
        <f>H176/$H$177</f>
        <v>0.059992810927390366</v>
      </c>
      <c r="J176" s="123">
        <v>1362</v>
      </c>
      <c r="K176" s="96">
        <f>J176/$J$177</f>
        <v>0.06224009505095279</v>
      </c>
      <c r="L176" s="122"/>
      <c r="M176" s="113"/>
      <c r="N176" s="6"/>
      <c r="P176" s="72"/>
    </row>
    <row r="177" spans="1:16" ht="15.75">
      <c r="A177" s="28"/>
      <c r="B177" s="68" t="s">
        <v>124</v>
      </c>
      <c r="C177" s="123">
        <f>SUM(C173:C176)</f>
        <v>6496</v>
      </c>
      <c r="D177" s="96">
        <f>SUM(D173:D176)</f>
        <v>1</v>
      </c>
      <c r="E177" s="123">
        <f>SUM(E173:E176)</f>
        <v>36511</v>
      </c>
      <c r="F177" s="96">
        <f>SUM(F173:F176)</f>
        <v>1</v>
      </c>
      <c r="G177" s="120"/>
      <c r="H177" s="123">
        <f>SUM(H173:H176)</f>
        <v>27820</v>
      </c>
      <c r="I177" s="96">
        <f>SUM(I173:I176)</f>
        <v>1</v>
      </c>
      <c r="J177" s="123">
        <f>SUM(J173:J176)</f>
        <v>21883</v>
      </c>
      <c r="K177" s="96">
        <f>SUM(K173:K176)</f>
        <v>1</v>
      </c>
      <c r="L177" s="122"/>
      <c r="M177" s="113"/>
      <c r="N177" s="6"/>
      <c r="P177" s="72"/>
    </row>
    <row r="178" spans="1:15" ht="15.75">
      <c r="A178" s="28"/>
      <c r="B178" s="68" t="s">
        <v>125</v>
      </c>
      <c r="C178" s="123">
        <v>3337</v>
      </c>
      <c r="D178" s="124"/>
      <c r="E178" s="123">
        <v>22633</v>
      </c>
      <c r="F178" s="124"/>
      <c r="G178" s="120"/>
      <c r="H178" s="123">
        <v>2604</v>
      </c>
      <c r="I178" s="124"/>
      <c r="J178" s="123">
        <v>3533</v>
      </c>
      <c r="K178" s="124"/>
      <c r="L178" s="122"/>
      <c r="M178" s="113"/>
      <c r="N178" s="6"/>
      <c r="O178" s="72"/>
    </row>
    <row r="179" spans="1:16" ht="15.75">
      <c r="A179" s="28"/>
      <c r="B179" s="68" t="s">
        <v>126</v>
      </c>
      <c r="C179" s="123">
        <f>SUM(C177:C178)</f>
        <v>9833</v>
      </c>
      <c r="D179" s="156"/>
      <c r="E179" s="123">
        <f>E178+E177</f>
        <v>59144</v>
      </c>
      <c r="F179" s="127"/>
      <c r="G179" s="156"/>
      <c r="H179" s="123">
        <f>SUM(H177:H178)</f>
        <v>30424</v>
      </c>
      <c r="I179" s="156"/>
      <c r="J179" s="123">
        <f>J178+J177</f>
        <v>25416</v>
      </c>
      <c r="K179" s="156"/>
      <c r="L179" s="156"/>
      <c r="M179" s="113"/>
      <c r="N179" s="6"/>
      <c r="P179" s="72"/>
    </row>
    <row r="180" spans="1:16" ht="15.75">
      <c r="A180" s="28"/>
      <c r="B180" s="68"/>
      <c r="C180" s="123"/>
      <c r="D180" s="127"/>
      <c r="E180" s="123"/>
      <c r="F180" s="127"/>
      <c r="G180" s="120"/>
      <c r="H180" s="123"/>
      <c r="I180" s="127"/>
      <c r="J180" s="123"/>
      <c r="K180" s="127"/>
      <c r="L180" s="122"/>
      <c r="M180" s="113"/>
      <c r="N180" s="6"/>
      <c r="P180" s="72"/>
    </row>
    <row r="181" spans="1:15" ht="15.75">
      <c r="A181" s="28"/>
      <c r="B181" s="68"/>
      <c r="C181" s="120"/>
      <c r="D181" s="119" t="s">
        <v>40</v>
      </c>
      <c r="E181" s="120"/>
      <c r="F181" s="121"/>
      <c r="G181" s="120"/>
      <c r="H181" s="119" t="s">
        <v>41</v>
      </c>
      <c r="I181" s="120"/>
      <c r="J181" s="121"/>
      <c r="K181" s="120"/>
      <c r="L181" s="122"/>
      <c r="M181" s="113"/>
      <c r="N181" s="6"/>
      <c r="O181" s="72"/>
    </row>
    <row r="182" spans="1:14" ht="15.75">
      <c r="A182" s="28"/>
      <c r="B182" s="156"/>
      <c r="C182" s="121" t="s">
        <v>141</v>
      </c>
      <c r="D182" s="120" t="s">
        <v>152</v>
      </c>
      <c r="E182" s="121" t="s">
        <v>157</v>
      </c>
      <c r="F182" s="120" t="s">
        <v>152</v>
      </c>
      <c r="G182" s="120"/>
      <c r="H182" s="121" t="s">
        <v>141</v>
      </c>
      <c r="I182" s="120" t="s">
        <v>152</v>
      </c>
      <c r="J182" s="121" t="s">
        <v>157</v>
      </c>
      <c r="K182" s="120" t="s">
        <v>152</v>
      </c>
      <c r="L182" s="122"/>
      <c r="M182" s="113"/>
      <c r="N182" s="6"/>
    </row>
    <row r="183" spans="1:15" ht="15.75">
      <c r="A183" s="28"/>
      <c r="B183" s="68" t="s">
        <v>120</v>
      </c>
      <c r="C183" s="123">
        <v>4530</v>
      </c>
      <c r="D183" s="96">
        <f>C183/C187</f>
        <v>0.9597457627118644</v>
      </c>
      <c r="E183" s="123">
        <v>91345</v>
      </c>
      <c r="F183" s="96">
        <f>E183/E187</f>
        <v>0.9585900032531929</v>
      </c>
      <c r="G183" s="120"/>
      <c r="H183" s="123">
        <v>9705</v>
      </c>
      <c r="I183" s="96">
        <f>H183/H187</f>
        <v>0.9850791717417783</v>
      </c>
      <c r="J183" s="123">
        <v>51765</v>
      </c>
      <c r="K183" s="96">
        <f>J183/J187</f>
        <v>0.9811596125779488</v>
      </c>
      <c r="L183" s="122"/>
      <c r="M183" s="113"/>
      <c r="N183" s="6"/>
      <c r="O183" s="72"/>
    </row>
    <row r="184" spans="1:14" ht="15.75">
      <c r="A184" s="28"/>
      <c r="B184" s="68" t="s">
        <v>121</v>
      </c>
      <c r="C184" s="123">
        <v>83</v>
      </c>
      <c r="D184" s="96">
        <f>C184/$C$187</f>
        <v>0.017584745762711865</v>
      </c>
      <c r="E184" s="123">
        <v>1899</v>
      </c>
      <c r="F184" s="96">
        <f>E184/$E$187</f>
        <v>0.019928429757269838</v>
      </c>
      <c r="G184" s="120"/>
      <c r="H184" s="123">
        <v>81</v>
      </c>
      <c r="I184" s="96">
        <f>H184/$H$187</f>
        <v>0.008221680876979293</v>
      </c>
      <c r="J184" s="123">
        <v>546</v>
      </c>
      <c r="K184" s="96">
        <f>J184/$J$187</f>
        <v>0.010348945203661935</v>
      </c>
      <c r="L184" s="122"/>
      <c r="M184" s="113"/>
      <c r="N184" s="6"/>
    </row>
    <row r="185" spans="1:14" ht="15.75">
      <c r="A185" s="28"/>
      <c r="B185" s="68" t="s">
        <v>122</v>
      </c>
      <c r="C185" s="123">
        <v>40</v>
      </c>
      <c r="D185" s="96">
        <f>C185/$C$187</f>
        <v>0.00847457627118644</v>
      </c>
      <c r="E185" s="123">
        <v>591</v>
      </c>
      <c r="F185" s="96">
        <f>E185/$E$187</f>
        <v>0.0062020547585816075</v>
      </c>
      <c r="G185" s="120"/>
      <c r="H185" s="123">
        <v>24</v>
      </c>
      <c r="I185" s="96">
        <f>H185/$H$187</f>
        <v>0.00243605359317905</v>
      </c>
      <c r="J185" s="123">
        <v>128</v>
      </c>
      <c r="K185" s="96">
        <f>J185/$J$187</f>
        <v>0.002426126348111223</v>
      </c>
      <c r="L185" s="122"/>
      <c r="M185" s="113"/>
      <c r="N185" s="6"/>
    </row>
    <row r="186" spans="1:14" ht="15.75">
      <c r="A186" s="28"/>
      <c r="B186" s="68" t="s">
        <v>123</v>
      </c>
      <c r="C186" s="123">
        <v>67</v>
      </c>
      <c r="D186" s="96">
        <f>C186/$C$187</f>
        <v>0.014194915254237288</v>
      </c>
      <c r="E186" s="123">
        <v>1456</v>
      </c>
      <c r="F186" s="96">
        <f>E186/$E$187</f>
        <v>0.015279512230955705</v>
      </c>
      <c r="G186" s="120"/>
      <c r="H186" s="123">
        <v>42</v>
      </c>
      <c r="I186" s="96">
        <f>H186/$H$187</f>
        <v>0.004263093788063338</v>
      </c>
      <c r="J186" s="123">
        <v>320</v>
      </c>
      <c r="K186" s="96">
        <f>J186/$J$187</f>
        <v>0.006065315870278057</v>
      </c>
      <c r="L186" s="122"/>
      <c r="M186" s="113"/>
      <c r="N186" s="6"/>
    </row>
    <row r="187" spans="1:14" ht="15.75">
      <c r="A187" s="28"/>
      <c r="B187" s="68" t="str">
        <f>B177</f>
        <v>Total Performing  Assets</v>
      </c>
      <c r="C187" s="123">
        <f>SUM(C183:C186)</f>
        <v>4720</v>
      </c>
      <c r="D187" s="96">
        <f>SUM(D183:D186)</f>
        <v>1</v>
      </c>
      <c r="E187" s="123">
        <f>SUM(E183:E186)</f>
        <v>95291</v>
      </c>
      <c r="F187" s="96">
        <f>SUM(F183:F186)</f>
        <v>1</v>
      </c>
      <c r="G187" s="120"/>
      <c r="H187" s="123">
        <f>SUM(H183:H186)</f>
        <v>9852</v>
      </c>
      <c r="I187" s="96">
        <f>SUM(I183:I186)</f>
        <v>0.9999999999999999</v>
      </c>
      <c r="J187" s="123">
        <f>SUM(J183:J186)</f>
        <v>52759</v>
      </c>
      <c r="K187" s="96">
        <f>SUM(K183:K186)</f>
        <v>1</v>
      </c>
      <c r="L187" s="122"/>
      <c r="M187" s="113"/>
      <c r="N187" s="6"/>
    </row>
    <row r="188" spans="1:14" ht="15.75">
      <c r="A188" s="28"/>
      <c r="B188" s="68" t="s">
        <v>125</v>
      </c>
      <c r="C188" s="123">
        <v>1</v>
      </c>
      <c r="D188" s="126"/>
      <c r="E188" s="123">
        <v>1</v>
      </c>
      <c r="F188" s="124"/>
      <c r="G188" s="120"/>
      <c r="H188" s="123">
        <v>27</v>
      </c>
      <c r="I188" s="126"/>
      <c r="J188" s="123">
        <v>225</v>
      </c>
      <c r="K188" s="126"/>
      <c r="L188" s="122"/>
      <c r="M188" s="113"/>
      <c r="N188" s="6"/>
    </row>
    <row r="189" spans="1:15" ht="15.75">
      <c r="A189" s="28"/>
      <c r="B189" s="68" t="s">
        <v>126</v>
      </c>
      <c r="C189" s="123">
        <f>SUM(C187:C188)</f>
        <v>4721</v>
      </c>
      <c r="D189" s="156"/>
      <c r="E189" s="123">
        <f>E188+E187</f>
        <v>95292</v>
      </c>
      <c r="F189" s="127"/>
      <c r="G189" s="156"/>
      <c r="H189" s="123">
        <f>SUM(H187:H188)</f>
        <v>9879</v>
      </c>
      <c r="I189" s="156"/>
      <c r="J189" s="123">
        <f>J188+J187</f>
        <v>52984</v>
      </c>
      <c r="K189" s="156"/>
      <c r="L189" s="156"/>
      <c r="M189" s="156"/>
      <c r="N189" s="6"/>
      <c r="O189" s="72"/>
    </row>
    <row r="190" spans="1:14" ht="15.75">
      <c r="A190" s="28"/>
      <c r="B190" s="68"/>
      <c r="C190" s="120"/>
      <c r="D190" s="121"/>
      <c r="E190" s="120"/>
      <c r="F190" s="121"/>
      <c r="G190" s="120"/>
      <c r="H190" s="128"/>
      <c r="I190" s="120"/>
      <c r="J190" s="123"/>
      <c r="K190" s="120"/>
      <c r="L190" s="122"/>
      <c r="M190" s="113"/>
      <c r="N190" s="6"/>
    </row>
    <row r="191" spans="1:14" ht="15.75">
      <c r="A191" s="28"/>
      <c r="B191" s="68" t="s">
        <v>126</v>
      </c>
      <c r="C191" s="120"/>
      <c r="D191" s="121"/>
      <c r="E191" s="120"/>
      <c r="F191" s="121"/>
      <c r="G191" s="120"/>
      <c r="H191" s="128"/>
      <c r="I191" s="126"/>
      <c r="J191" s="123">
        <f>E179+J179+E189+J189</f>
        <v>232836</v>
      </c>
      <c r="K191" s="127"/>
      <c r="L191" s="122"/>
      <c r="M191" s="113"/>
      <c r="N191" s="6"/>
    </row>
    <row r="192" spans="1:14" ht="15.75">
      <c r="A192" s="28"/>
      <c r="B192" s="68"/>
      <c r="C192" s="120"/>
      <c r="D192" s="121"/>
      <c r="E192" s="120"/>
      <c r="F192" s="121"/>
      <c r="G192" s="120"/>
      <c r="H192" s="121"/>
      <c r="I192" s="120"/>
      <c r="J192" s="123"/>
      <c r="K192" s="126"/>
      <c r="L192" s="122"/>
      <c r="M192" s="113"/>
      <c r="N192" s="6"/>
    </row>
    <row r="193" spans="1:14" ht="15.75">
      <c r="A193" s="28"/>
      <c r="B193" s="129" t="s">
        <v>127</v>
      </c>
      <c r="C193" s="120"/>
      <c r="D193" s="121"/>
      <c r="E193" s="120"/>
      <c r="F193" s="121"/>
      <c r="G193" s="120"/>
      <c r="H193" s="121"/>
      <c r="I193" s="120"/>
      <c r="J193" s="123"/>
      <c r="K193" s="120"/>
      <c r="L193" s="122"/>
      <c r="M193" s="113"/>
      <c r="N193" s="6"/>
    </row>
    <row r="194" spans="1:14" ht="15.75">
      <c r="A194" s="28"/>
      <c r="B194" s="68"/>
      <c r="C194" s="120"/>
      <c r="D194" s="121"/>
      <c r="E194" s="120"/>
      <c r="F194" s="121"/>
      <c r="G194" s="120"/>
      <c r="H194" s="121"/>
      <c r="I194" s="120"/>
      <c r="J194" s="123"/>
      <c r="K194" s="120"/>
      <c r="L194" s="122"/>
      <c r="M194" s="113"/>
      <c r="N194" s="6"/>
    </row>
    <row r="195" spans="1:14" ht="15.75">
      <c r="A195" s="28"/>
      <c r="B195" s="68" t="s">
        <v>128</v>
      </c>
      <c r="C195" s="120"/>
      <c r="D195" s="121"/>
      <c r="E195" s="120"/>
      <c r="F195" s="121"/>
      <c r="G195" s="120"/>
      <c r="H195" s="121"/>
      <c r="I195" s="120"/>
      <c r="J195" s="123">
        <f>+E177+J177+E187+J187</f>
        <v>206444</v>
      </c>
      <c r="K195" s="120"/>
      <c r="L195" s="122"/>
      <c r="M195" s="113"/>
      <c r="N195" s="6"/>
    </row>
    <row r="196" spans="1:14" ht="15.75">
      <c r="A196" s="28"/>
      <c r="B196" s="68" t="s">
        <v>129</v>
      </c>
      <c r="C196" s="120"/>
      <c r="D196" s="121"/>
      <c r="E196" s="120"/>
      <c r="F196" s="121"/>
      <c r="G196" s="120"/>
      <c r="H196" s="121"/>
      <c r="I196" s="120"/>
      <c r="J196" s="123">
        <f>L93</f>
        <v>46345</v>
      </c>
      <c r="K196" s="120"/>
      <c r="L196" s="122"/>
      <c r="M196" s="113"/>
      <c r="N196" s="6"/>
    </row>
    <row r="197" spans="1:14" ht="15.75">
      <c r="A197" s="28"/>
      <c r="B197" s="68" t="s">
        <v>130</v>
      </c>
      <c r="C197" s="120"/>
      <c r="D197" s="121"/>
      <c r="E197" s="120"/>
      <c r="F197" s="121"/>
      <c r="G197" s="120"/>
      <c r="H197" s="121"/>
      <c r="I197" s="120"/>
      <c r="J197" s="123">
        <v>-1789</v>
      </c>
      <c r="K197" s="120"/>
      <c r="L197" s="122"/>
      <c r="M197" s="113"/>
      <c r="N197" s="6"/>
    </row>
    <row r="198" spans="1:14" ht="15.75">
      <c r="A198" s="28"/>
      <c r="B198" s="68" t="s">
        <v>131</v>
      </c>
      <c r="C198" s="120"/>
      <c r="D198" s="121"/>
      <c r="E198" s="120"/>
      <c r="F198" s="121"/>
      <c r="G198" s="120"/>
      <c r="H198" s="121"/>
      <c r="I198" s="120"/>
      <c r="J198" s="123">
        <f>SUM(J195:J197)</f>
        <v>251000</v>
      </c>
      <c r="K198" s="120"/>
      <c r="L198" s="122"/>
      <c r="M198" s="113"/>
      <c r="N198" s="6"/>
    </row>
    <row r="199" spans="1:14" ht="15.75">
      <c r="A199" s="28"/>
      <c r="B199" s="68"/>
      <c r="C199" s="120"/>
      <c r="D199" s="121"/>
      <c r="E199" s="120"/>
      <c r="F199" s="121"/>
      <c r="G199" s="120"/>
      <c r="H199" s="121"/>
      <c r="I199" s="120"/>
      <c r="J199" s="123"/>
      <c r="K199" s="120"/>
      <c r="L199" s="122"/>
      <c r="M199" s="113"/>
      <c r="N199" s="6"/>
    </row>
    <row r="200" spans="1:14" ht="15.75">
      <c r="A200" s="28"/>
      <c r="B200" s="68" t="s">
        <v>132</v>
      </c>
      <c r="C200" s="120"/>
      <c r="D200" s="121"/>
      <c r="E200" s="120"/>
      <c r="F200" s="121"/>
      <c r="G200" s="120"/>
      <c r="H200" s="121"/>
      <c r="I200" s="120"/>
      <c r="J200" s="123">
        <f>L30</f>
        <v>251000</v>
      </c>
      <c r="K200" s="120"/>
      <c r="L200" s="122"/>
      <c r="M200" s="113"/>
      <c r="N200" s="6"/>
    </row>
    <row r="201" spans="1:14" ht="15.75">
      <c r="A201" s="28"/>
      <c r="B201" s="68"/>
      <c r="C201" s="120"/>
      <c r="D201" s="121"/>
      <c r="E201" s="120"/>
      <c r="F201" s="121"/>
      <c r="G201" s="120"/>
      <c r="H201" s="121"/>
      <c r="I201" s="120"/>
      <c r="J201" s="123"/>
      <c r="K201" s="120"/>
      <c r="L201" s="122"/>
      <c r="M201" s="113"/>
      <c r="N201" s="6"/>
    </row>
    <row r="202" spans="1:14" ht="15.75">
      <c r="A202" s="28"/>
      <c r="B202" s="68" t="s">
        <v>133</v>
      </c>
      <c r="C202" s="120"/>
      <c r="D202" s="121"/>
      <c r="E202" s="120"/>
      <c r="F202" s="121"/>
      <c r="G202" s="120"/>
      <c r="H202" s="121"/>
      <c r="I202" s="120"/>
      <c r="J202" s="123">
        <f>J198/J200</f>
        <v>1</v>
      </c>
      <c r="K202" s="120"/>
      <c r="L202" s="122"/>
      <c r="M202" s="113"/>
      <c r="N202" s="6"/>
    </row>
    <row r="203" spans="1:14" ht="15.75">
      <c r="A203" s="28"/>
      <c r="B203" s="29"/>
      <c r="C203" s="29"/>
      <c r="D203" s="36"/>
      <c r="E203" s="29"/>
      <c r="F203" s="29"/>
      <c r="G203" s="29"/>
      <c r="H203" s="66"/>
      <c r="I203" s="130"/>
      <c r="J203" s="67"/>
      <c r="K203" s="130"/>
      <c r="L203" s="99"/>
      <c r="M203" s="29"/>
      <c r="N203" s="6"/>
    </row>
    <row r="204" spans="1:14" ht="15.75">
      <c r="A204" s="131"/>
      <c r="B204" s="33" t="s">
        <v>134</v>
      </c>
      <c r="C204" s="132"/>
      <c r="D204" s="120" t="s">
        <v>153</v>
      </c>
      <c r="E204" s="122"/>
      <c r="F204" s="33" t="s">
        <v>166</v>
      </c>
      <c r="G204" s="133"/>
      <c r="H204" s="133"/>
      <c r="I204" s="133"/>
      <c r="J204" s="134"/>
      <c r="K204" s="32"/>
      <c r="L204" s="32"/>
      <c r="M204" s="32"/>
      <c r="N204" s="6"/>
    </row>
    <row r="205" spans="1:14" ht="15.75">
      <c r="A205" s="135"/>
      <c r="B205" s="15" t="s">
        <v>135</v>
      </c>
      <c r="C205" s="136"/>
      <c r="D205" s="137" t="s">
        <v>154</v>
      </c>
      <c r="E205" s="15"/>
      <c r="F205" s="15" t="s">
        <v>167</v>
      </c>
      <c r="G205" s="136"/>
      <c r="H205" s="136"/>
      <c r="I205" s="14"/>
      <c r="J205" s="14"/>
      <c r="K205" s="14"/>
      <c r="L205" s="14"/>
      <c r="M205" s="14"/>
      <c r="N205" s="6"/>
    </row>
    <row r="206" spans="1:14" ht="15.75">
      <c r="A206" s="135"/>
      <c r="B206" s="15" t="s">
        <v>136</v>
      </c>
      <c r="C206" s="136"/>
      <c r="D206" s="137" t="s">
        <v>155</v>
      </c>
      <c r="E206" s="15"/>
      <c r="F206" s="15" t="s">
        <v>168</v>
      </c>
      <c r="G206" s="136"/>
      <c r="H206" s="136"/>
      <c r="I206" s="14"/>
      <c r="J206" s="14"/>
      <c r="K206" s="14"/>
      <c r="L206" s="14"/>
      <c r="M206" s="14"/>
      <c r="N206" s="6"/>
    </row>
    <row r="207" spans="1:14" ht="15.75">
      <c r="A207" s="135"/>
      <c r="B207" s="15"/>
      <c r="C207" s="136"/>
      <c r="D207" s="137"/>
      <c r="E207" s="15"/>
      <c r="F207" s="15"/>
      <c r="G207" s="136"/>
      <c r="H207" s="136"/>
      <c r="I207" s="14"/>
      <c r="J207" s="14"/>
      <c r="K207" s="14"/>
      <c r="L207" s="14"/>
      <c r="M207" s="14"/>
      <c r="N207" s="6"/>
    </row>
    <row r="208" spans="1:14" ht="15.75">
      <c r="A208" s="135"/>
      <c r="B208" s="15"/>
      <c r="C208" s="136"/>
      <c r="D208" s="137"/>
      <c r="E208" s="15"/>
      <c r="F208" s="15"/>
      <c r="G208" s="136"/>
      <c r="H208" s="136"/>
      <c r="I208" s="14"/>
      <c r="J208" s="14"/>
      <c r="K208" s="14"/>
      <c r="L208" s="14"/>
      <c r="M208" s="14"/>
      <c r="N208" s="6"/>
    </row>
    <row r="209" spans="1:14" ht="15.75">
      <c r="A209" s="135"/>
      <c r="B209" s="15" t="str">
        <f>B148</f>
        <v>PPAF1 INVESTOR REPORT QUARTER ENDING FEBRUARY 2004</v>
      </c>
      <c r="C209" s="136"/>
      <c r="D209" s="137"/>
      <c r="E209" s="15"/>
      <c r="F209" s="15"/>
      <c r="G209" s="136"/>
      <c r="H209" s="136"/>
      <c r="I209" s="14"/>
      <c r="J209" s="14"/>
      <c r="K209" s="14"/>
      <c r="L209" s="14"/>
      <c r="M209" s="14"/>
      <c r="N209" s="6"/>
    </row>
    <row r="210" spans="1:13" ht="15">
      <c r="A210" s="138"/>
      <c r="B210" s="138"/>
      <c r="C210" s="138"/>
      <c r="D210" s="138"/>
      <c r="E210" s="138"/>
      <c r="F210" s="138"/>
      <c r="G210" s="138"/>
      <c r="H210" s="138"/>
      <c r="I210" s="138"/>
      <c r="J210" s="138"/>
      <c r="K210" s="138"/>
      <c r="L210" s="138"/>
      <c r="M210" s="138"/>
    </row>
  </sheetData>
  <printOptions horizontalCentered="1" verticalCentered="1"/>
  <pageMargins left="0.2362204724409449" right="0.4330708661417323" top="0.2362204724409449" bottom="0.7480314960629921" header="0" footer="0"/>
  <pageSetup horizontalDpi="600" verticalDpi="600" orientation="landscape" paperSize="9" scale="50" r:id="rId2"/>
  <rowBreaks count="4" manualBreakCount="4">
    <brk id="50" max="13" man="1"/>
    <brk id="97" max="13" man="1"/>
    <brk id="148" max="13" man="1"/>
    <brk id="210" max="0" man="1"/>
  </rowBreaks>
  <drawing r:id="rId1"/>
</worksheet>
</file>

<file path=xl/worksheets/sheet12.xml><?xml version="1.0" encoding="utf-8"?>
<worksheet xmlns="http://schemas.openxmlformats.org/spreadsheetml/2006/main" xmlns:r="http://schemas.openxmlformats.org/officeDocument/2006/relationships">
  <dimension ref="A1:P210"/>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1.6640625" style="1" customWidth="1"/>
    <col min="3" max="3" width="18.88671875" style="1" customWidth="1"/>
    <col min="4" max="4" width="14.6640625" style="1" customWidth="1"/>
    <col min="5" max="5" width="12.4453125" style="1" customWidth="1"/>
    <col min="6" max="6" width="14.6640625" style="1" customWidth="1"/>
    <col min="7" max="7" width="7.6640625" style="1" customWidth="1"/>
    <col min="8" max="8" width="13.6640625" style="1" customWidth="1"/>
    <col min="9" max="9" width="9.6640625" style="1" customWidth="1"/>
    <col min="10" max="10" width="13.6640625" style="1" customWidth="1"/>
    <col min="11" max="11" width="8.6640625" style="1" customWidth="1"/>
    <col min="12" max="12" width="15.6640625" style="1" customWidth="1"/>
    <col min="13" max="13" width="11.886718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8"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2" t="s">
        <v>2</v>
      </c>
      <c r="C5" s="13"/>
      <c r="D5" s="9"/>
      <c r="E5" s="9"/>
      <c r="F5" s="9"/>
      <c r="G5" s="9"/>
      <c r="H5" s="9"/>
      <c r="I5" s="9"/>
      <c r="J5" s="9"/>
      <c r="K5" s="9"/>
      <c r="L5" s="9"/>
      <c r="M5" s="9"/>
      <c r="N5" s="6"/>
    </row>
    <row r="6" spans="1:14" ht="15.75">
      <c r="A6" s="7"/>
      <c r="B6" s="12" t="s">
        <v>3</v>
      </c>
      <c r="C6" s="13"/>
      <c r="D6" s="9"/>
      <c r="E6" s="9"/>
      <c r="F6" s="9"/>
      <c r="G6" s="9"/>
      <c r="H6" s="9"/>
      <c r="I6" s="9"/>
      <c r="J6" s="9"/>
      <c r="K6" s="9"/>
      <c r="L6" s="9"/>
      <c r="M6" s="9"/>
      <c r="N6" s="6"/>
    </row>
    <row r="7" spans="1:14" ht="15.75">
      <c r="A7" s="7"/>
      <c r="B7" s="12" t="s">
        <v>4</v>
      </c>
      <c r="C7" s="13"/>
      <c r="D7" s="9"/>
      <c r="E7" s="9"/>
      <c r="F7" s="9"/>
      <c r="G7" s="9"/>
      <c r="H7" s="9"/>
      <c r="I7" s="9"/>
      <c r="J7" s="9"/>
      <c r="K7" s="9"/>
      <c r="L7" s="9"/>
      <c r="M7" s="9"/>
      <c r="N7" s="6"/>
    </row>
    <row r="8" spans="1:14" ht="15.75">
      <c r="A8" s="7"/>
      <c r="B8" s="14"/>
      <c r="C8" s="13"/>
      <c r="D8" s="9"/>
      <c r="E8" s="9"/>
      <c r="F8" s="9"/>
      <c r="G8" s="9"/>
      <c r="H8" s="9"/>
      <c r="I8" s="9"/>
      <c r="J8" s="9"/>
      <c r="K8" s="9"/>
      <c r="L8" s="9"/>
      <c r="M8" s="9"/>
      <c r="N8" s="6"/>
    </row>
    <row r="9" spans="1:14" ht="15.75">
      <c r="A9" s="7"/>
      <c r="B9" s="13"/>
      <c r="C9" s="13"/>
      <c r="D9" s="15"/>
      <c r="E9" s="15"/>
      <c r="F9" s="9"/>
      <c r="G9" s="9"/>
      <c r="H9" s="9"/>
      <c r="I9" s="9"/>
      <c r="J9" s="9"/>
      <c r="K9" s="9"/>
      <c r="L9" s="9"/>
      <c r="M9" s="9"/>
      <c r="N9" s="6"/>
    </row>
    <row r="10" spans="1:14" ht="15.75">
      <c r="A10" s="7"/>
      <c r="B10" s="15" t="s">
        <v>5</v>
      </c>
      <c r="C10" s="15"/>
      <c r="D10" s="9"/>
      <c r="E10" s="9"/>
      <c r="F10" s="9"/>
      <c r="G10" s="9"/>
      <c r="H10" s="9"/>
      <c r="I10" s="9"/>
      <c r="J10" s="9"/>
      <c r="K10" s="9"/>
      <c r="L10" s="9"/>
      <c r="M10" s="9"/>
      <c r="N10" s="6"/>
    </row>
    <row r="11" spans="1:14" ht="15.75">
      <c r="A11" s="7"/>
      <c r="B11" s="15"/>
      <c r="C11" s="15"/>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6" t="s">
        <v>6</v>
      </c>
      <c r="C13" s="16"/>
      <c r="D13" s="17"/>
      <c r="E13" s="17"/>
      <c r="F13" s="17"/>
      <c r="G13" s="17"/>
      <c r="H13" s="17"/>
      <c r="I13" s="17"/>
      <c r="J13" s="17"/>
      <c r="K13" s="17"/>
      <c r="L13" s="18" t="s">
        <v>186</v>
      </c>
      <c r="M13" s="9"/>
      <c r="N13" s="6"/>
    </row>
    <row r="14" spans="1:14" ht="15.75">
      <c r="A14" s="7"/>
      <c r="B14" s="16" t="s">
        <v>7</v>
      </c>
      <c r="C14" s="16"/>
      <c r="D14" s="19" t="s">
        <v>140</v>
      </c>
      <c r="E14" s="20">
        <v>0.348</v>
      </c>
      <c r="F14" s="19" t="s">
        <v>150</v>
      </c>
      <c r="G14" s="20">
        <v>0.229</v>
      </c>
      <c r="H14" s="19" t="s">
        <v>156</v>
      </c>
      <c r="I14" s="20">
        <v>0.098</v>
      </c>
      <c r="J14" s="19" t="s">
        <v>165</v>
      </c>
      <c r="K14" s="20">
        <v>0.1</v>
      </c>
      <c r="L14" s="18"/>
      <c r="M14" s="17"/>
      <c r="N14" s="6"/>
    </row>
    <row r="15" spans="1:14" ht="15.75">
      <c r="A15" s="7"/>
      <c r="B15" s="16" t="s">
        <v>8</v>
      </c>
      <c r="C15" s="16"/>
      <c r="D15" s="19" t="s">
        <v>140</v>
      </c>
      <c r="E15" s="20">
        <f>E177/(J195+$L$93)</f>
        <v>0.12523883555059753</v>
      </c>
      <c r="F15" s="19" t="s">
        <v>150</v>
      </c>
      <c r="G15" s="20">
        <f>J177/(J195+$L$93)</f>
        <v>0.059591200566480346</v>
      </c>
      <c r="H15" s="19" t="s">
        <v>156</v>
      </c>
      <c r="I15" s="20">
        <f>E187/(J195+$L$93)</f>
        <v>0.3911839518333472</v>
      </c>
      <c r="J15" s="19" t="s">
        <v>165</v>
      </c>
      <c r="K15" s="20">
        <f>J187/(J195+$L$93)</f>
        <v>0.202817369426676</v>
      </c>
      <c r="L15" s="18"/>
      <c r="M15" s="17"/>
      <c r="N15" s="6"/>
    </row>
    <row r="16" spans="1:14" ht="15.75">
      <c r="A16" s="7"/>
      <c r="B16" s="16" t="s">
        <v>9</v>
      </c>
      <c r="C16" s="16"/>
      <c r="D16" s="17"/>
      <c r="E16" s="17"/>
      <c r="F16" s="17"/>
      <c r="G16" s="17"/>
      <c r="H16" s="17"/>
      <c r="I16" s="17"/>
      <c r="J16" s="17"/>
      <c r="K16" s="17"/>
      <c r="L16" s="178">
        <v>37070</v>
      </c>
      <c r="M16" s="9"/>
      <c r="N16" s="6"/>
    </row>
    <row r="17" spans="1:14" ht="15.75">
      <c r="A17" s="7"/>
      <c r="B17" s="16" t="s">
        <v>10</v>
      </c>
      <c r="C17" s="16"/>
      <c r="D17" s="17"/>
      <c r="E17" s="17"/>
      <c r="F17" s="17"/>
      <c r="G17" s="17"/>
      <c r="H17" s="17"/>
      <c r="I17" s="17"/>
      <c r="J17" s="17"/>
      <c r="K17" s="17"/>
      <c r="L17" s="21">
        <v>38159</v>
      </c>
      <c r="M17" s="9"/>
      <c r="N17" s="6"/>
    </row>
    <row r="18" spans="1:14" ht="15.75">
      <c r="A18" s="7"/>
      <c r="B18" s="9"/>
      <c r="C18" s="9"/>
      <c r="D18" s="9"/>
      <c r="E18" s="9"/>
      <c r="F18" s="9"/>
      <c r="G18" s="9"/>
      <c r="H18" s="9"/>
      <c r="I18" s="9"/>
      <c r="J18" s="9"/>
      <c r="K18" s="9"/>
      <c r="L18" s="22"/>
      <c r="M18" s="9"/>
      <c r="N18" s="6"/>
    </row>
    <row r="19" spans="1:14" ht="15.75">
      <c r="A19" s="7"/>
      <c r="B19" s="23" t="s">
        <v>11</v>
      </c>
      <c r="C19" s="9"/>
      <c r="D19" s="9"/>
      <c r="E19" s="9"/>
      <c r="F19" s="9"/>
      <c r="G19" s="9"/>
      <c r="H19" s="9"/>
      <c r="I19" s="9"/>
      <c r="J19" s="22"/>
      <c r="K19" s="9"/>
      <c r="L19" s="14"/>
      <c r="M19" s="9"/>
      <c r="N19" s="6"/>
    </row>
    <row r="20" spans="1:14" ht="15.75">
      <c r="A20" s="7"/>
      <c r="B20" s="9"/>
      <c r="C20" s="9"/>
      <c r="D20" s="9"/>
      <c r="E20" s="9"/>
      <c r="F20" s="9"/>
      <c r="G20" s="9"/>
      <c r="H20" s="9"/>
      <c r="I20" s="9"/>
      <c r="J20" s="9"/>
      <c r="K20" s="9"/>
      <c r="L20" s="24"/>
      <c r="M20" s="9"/>
      <c r="N20" s="6"/>
    </row>
    <row r="21" spans="1:14" ht="15.75">
      <c r="A21" s="7"/>
      <c r="B21" s="9"/>
      <c r="C21" s="159" t="s">
        <v>137</v>
      </c>
      <c r="D21" s="161" t="s">
        <v>142</v>
      </c>
      <c r="E21" s="161"/>
      <c r="F21" s="161" t="s">
        <v>158</v>
      </c>
      <c r="G21" s="161"/>
      <c r="H21" s="161" t="s">
        <v>169</v>
      </c>
      <c r="I21" s="26"/>
      <c r="J21" s="27"/>
      <c r="K21" s="14"/>
      <c r="L21" s="14"/>
      <c r="M21" s="9"/>
      <c r="N21" s="6"/>
    </row>
    <row r="22" spans="1:14" ht="15.75">
      <c r="A22" s="28"/>
      <c r="B22" s="29" t="s">
        <v>12</v>
      </c>
      <c r="C22" s="160" t="s">
        <v>138</v>
      </c>
      <c r="D22" s="31" t="s">
        <v>143</v>
      </c>
      <c r="E22" s="31"/>
      <c r="F22" s="31" t="s">
        <v>159</v>
      </c>
      <c r="G22" s="31"/>
      <c r="H22" s="31" t="s">
        <v>170</v>
      </c>
      <c r="I22" s="31"/>
      <c r="J22" s="31"/>
      <c r="K22" s="32"/>
      <c r="L22" s="32"/>
      <c r="M22" s="29"/>
      <c r="N22" s="6"/>
    </row>
    <row r="23" spans="1:14" ht="15.75">
      <c r="A23" s="28"/>
      <c r="B23" s="29" t="s">
        <v>13</v>
      </c>
      <c r="C23" s="30"/>
      <c r="D23" s="31" t="s">
        <v>144</v>
      </c>
      <c r="E23" s="31"/>
      <c r="F23" s="31" t="s">
        <v>160</v>
      </c>
      <c r="G23" s="31"/>
      <c r="H23" s="31" t="s">
        <v>171</v>
      </c>
      <c r="I23" s="31"/>
      <c r="J23" s="31"/>
      <c r="K23" s="32"/>
      <c r="L23" s="32"/>
      <c r="M23" s="29"/>
      <c r="N23" s="6"/>
    </row>
    <row r="24" spans="1:14" ht="15.75">
      <c r="A24" s="28"/>
      <c r="B24" s="33" t="s">
        <v>14</v>
      </c>
      <c r="C24" s="33"/>
      <c r="D24" s="34" t="s">
        <v>143</v>
      </c>
      <c r="E24" s="34"/>
      <c r="F24" s="34" t="s">
        <v>159</v>
      </c>
      <c r="G24" s="34"/>
      <c r="H24" s="34" t="s">
        <v>170</v>
      </c>
      <c r="I24" s="34"/>
      <c r="J24" s="34"/>
      <c r="K24" s="35"/>
      <c r="L24" s="32"/>
      <c r="M24" s="29"/>
      <c r="N24" s="6"/>
    </row>
    <row r="25" spans="1:14" ht="15.75">
      <c r="A25" s="28"/>
      <c r="B25" s="33" t="s">
        <v>15</v>
      </c>
      <c r="C25" s="33"/>
      <c r="D25" s="34" t="s">
        <v>144</v>
      </c>
      <c r="E25" s="34"/>
      <c r="F25" s="34" t="s">
        <v>160</v>
      </c>
      <c r="G25" s="34"/>
      <c r="H25" s="34" t="s">
        <v>171</v>
      </c>
      <c r="I25" s="34"/>
      <c r="J25" s="34"/>
      <c r="K25" s="35"/>
      <c r="L25" s="32"/>
      <c r="M25" s="29"/>
      <c r="N25" s="6"/>
    </row>
    <row r="26" spans="1:14" ht="15.75">
      <c r="A26" s="28"/>
      <c r="B26" s="29" t="s">
        <v>16</v>
      </c>
      <c r="C26" s="29"/>
      <c r="D26" s="36" t="s">
        <v>145</v>
      </c>
      <c r="E26" s="31"/>
      <c r="F26" s="36" t="s">
        <v>161</v>
      </c>
      <c r="G26" s="31"/>
      <c r="H26" s="36" t="s">
        <v>172</v>
      </c>
      <c r="I26" s="31"/>
      <c r="J26" s="36"/>
      <c r="K26" s="32"/>
      <c r="L26" s="32"/>
      <c r="M26" s="29"/>
      <c r="N26" s="6"/>
    </row>
    <row r="27" spans="1:14" ht="15.75">
      <c r="A27" s="28"/>
      <c r="B27" s="29"/>
      <c r="C27" s="29"/>
      <c r="D27" s="29"/>
      <c r="E27" s="31"/>
      <c r="F27" s="31"/>
      <c r="G27" s="31"/>
      <c r="H27" s="31"/>
      <c r="I27" s="31"/>
      <c r="J27" s="31"/>
      <c r="K27" s="32"/>
      <c r="L27" s="32"/>
      <c r="M27" s="29"/>
      <c r="N27" s="6"/>
    </row>
    <row r="28" spans="1:14" ht="15.75">
      <c r="A28" s="28"/>
      <c r="B28" s="29" t="s">
        <v>17</v>
      </c>
      <c r="C28" s="29"/>
      <c r="D28" s="37">
        <v>178210</v>
      </c>
      <c r="E28" s="38"/>
      <c r="F28" s="37">
        <v>51450</v>
      </c>
      <c r="G28" s="37"/>
      <c r="H28" s="37">
        <v>21340</v>
      </c>
      <c r="I28" s="37"/>
      <c r="J28" s="37"/>
      <c r="K28" s="39"/>
      <c r="L28" s="37">
        <f>J28+H28+F28+D28</f>
        <v>251000</v>
      </c>
      <c r="M28" s="40"/>
      <c r="N28" s="6"/>
    </row>
    <row r="29" spans="1:14" ht="15.75">
      <c r="A29" s="28"/>
      <c r="B29" s="29" t="s">
        <v>18</v>
      </c>
      <c r="C29" s="44">
        <v>1</v>
      </c>
      <c r="D29" s="37">
        <v>178210</v>
      </c>
      <c r="E29" s="38"/>
      <c r="F29" s="37">
        <v>51450</v>
      </c>
      <c r="G29" s="37"/>
      <c r="H29" s="37">
        <v>21340</v>
      </c>
      <c r="I29" s="42"/>
      <c r="J29" s="37"/>
      <c r="K29" s="39"/>
      <c r="L29" s="37">
        <f>J29+H29+F29+D29</f>
        <v>251000</v>
      </c>
      <c r="M29" s="40"/>
      <c r="N29" s="6"/>
    </row>
    <row r="30" spans="1:14" ht="15.75">
      <c r="A30" s="43"/>
      <c r="B30" s="33" t="s">
        <v>19</v>
      </c>
      <c r="C30" s="44">
        <v>1</v>
      </c>
      <c r="D30" s="45">
        <v>178210</v>
      </c>
      <c r="E30" s="46"/>
      <c r="F30" s="45">
        <v>51450</v>
      </c>
      <c r="G30" s="45"/>
      <c r="H30" s="45">
        <v>21340</v>
      </c>
      <c r="I30" s="45"/>
      <c r="J30" s="45"/>
      <c r="K30" s="47"/>
      <c r="L30" s="45">
        <f>J30+H30+F30+D30</f>
        <v>251000</v>
      </c>
      <c r="M30" s="29"/>
      <c r="N30" s="6"/>
    </row>
    <row r="31" spans="1:14" ht="15.75">
      <c r="A31" s="28"/>
      <c r="B31" s="29" t="s">
        <v>20</v>
      </c>
      <c r="C31" s="155"/>
      <c r="D31" s="36" t="s">
        <v>146</v>
      </c>
      <c r="E31" s="29"/>
      <c r="F31" s="36" t="s">
        <v>162</v>
      </c>
      <c r="G31" s="36"/>
      <c r="H31" s="36" t="s">
        <v>173</v>
      </c>
      <c r="I31" s="36"/>
      <c r="J31" s="36"/>
      <c r="K31" s="32"/>
      <c r="L31" s="32"/>
      <c r="M31" s="29"/>
      <c r="N31" s="6"/>
    </row>
    <row r="32" spans="1:14" ht="15.75">
      <c r="A32" s="28"/>
      <c r="B32" s="29" t="s">
        <v>21</v>
      </c>
      <c r="C32" s="155"/>
      <c r="D32" s="49">
        <v>0.0456125</v>
      </c>
      <c r="E32" s="50"/>
      <c r="F32" s="49">
        <v>0.0512125</v>
      </c>
      <c r="G32" s="49"/>
      <c r="H32" s="49">
        <v>0.0652125</v>
      </c>
      <c r="I32" s="51"/>
      <c r="J32" s="49"/>
      <c r="K32" s="32"/>
      <c r="L32" s="51">
        <f>SUMPRODUCT(D32:J32,D30:J30)/L30</f>
        <v>0.04842677888446215</v>
      </c>
      <c r="M32" s="29"/>
      <c r="N32" s="6"/>
    </row>
    <row r="33" spans="1:14" ht="15.75">
      <c r="A33" s="28"/>
      <c r="B33" s="29" t="s">
        <v>22</v>
      </c>
      <c r="C33" s="155"/>
      <c r="D33" s="49">
        <v>0.0431125</v>
      </c>
      <c r="E33" s="50"/>
      <c r="F33" s="49">
        <v>0.0487125</v>
      </c>
      <c r="G33" s="49"/>
      <c r="H33" s="49">
        <v>0.0627125</v>
      </c>
      <c r="I33" s="51"/>
      <c r="J33" s="49"/>
      <c r="K33" s="32"/>
      <c r="L33" s="32"/>
      <c r="M33" s="29"/>
      <c r="N33" s="6"/>
    </row>
    <row r="34" spans="1:14" ht="15.75">
      <c r="A34" s="28"/>
      <c r="B34" s="29" t="s">
        <v>23</v>
      </c>
      <c r="C34" s="155"/>
      <c r="D34" s="36" t="s">
        <v>147</v>
      </c>
      <c r="E34" s="29"/>
      <c r="F34" s="36" t="s">
        <v>147</v>
      </c>
      <c r="G34" s="36"/>
      <c r="H34" s="36" t="s">
        <v>147</v>
      </c>
      <c r="I34" s="36"/>
      <c r="J34" s="36"/>
      <c r="K34" s="32"/>
      <c r="L34" s="32"/>
      <c r="M34" s="29"/>
      <c r="N34" s="6"/>
    </row>
    <row r="35" spans="1:14" ht="15.75">
      <c r="A35" s="28"/>
      <c r="B35" s="29" t="s">
        <v>24</v>
      </c>
      <c r="C35" s="29"/>
      <c r="D35" s="52">
        <v>39248</v>
      </c>
      <c r="E35" s="29"/>
      <c r="F35" s="52">
        <v>39248</v>
      </c>
      <c r="G35" s="52"/>
      <c r="H35" s="52">
        <v>39248</v>
      </c>
      <c r="I35" s="36"/>
      <c r="J35" s="36"/>
      <c r="K35" s="32"/>
      <c r="L35" s="32"/>
      <c r="M35" s="29"/>
      <c r="N35" s="6"/>
    </row>
    <row r="36" spans="1:14" ht="15.75">
      <c r="A36" s="28"/>
      <c r="B36" s="29" t="s">
        <v>25</v>
      </c>
      <c r="C36" s="29"/>
      <c r="D36" s="36" t="s">
        <v>148</v>
      </c>
      <c r="E36" s="29"/>
      <c r="F36" s="36" t="s">
        <v>163</v>
      </c>
      <c r="G36" s="36"/>
      <c r="H36" s="36" t="s">
        <v>174</v>
      </c>
      <c r="I36" s="36"/>
      <c r="J36" s="36"/>
      <c r="K36" s="32"/>
      <c r="L36" s="32"/>
      <c r="M36" s="29"/>
      <c r="N36" s="6"/>
    </row>
    <row r="37" spans="1:14" ht="15.75">
      <c r="A37" s="28"/>
      <c r="B37" s="29"/>
      <c r="C37" s="29"/>
      <c r="D37" s="53"/>
      <c r="E37" s="53"/>
      <c r="F37" s="50"/>
      <c r="G37" s="53"/>
      <c r="H37" s="142"/>
      <c r="I37" s="53"/>
      <c r="J37" s="53"/>
      <c r="K37" s="53"/>
      <c r="L37" s="53"/>
      <c r="M37" s="29"/>
      <c r="N37" s="6"/>
    </row>
    <row r="38" spans="1:14" ht="15.75">
      <c r="A38" s="28"/>
      <c r="B38" s="29" t="s">
        <v>26</v>
      </c>
      <c r="C38" s="29"/>
      <c r="D38" s="29"/>
      <c r="E38" s="29"/>
      <c r="F38" s="50"/>
      <c r="G38" s="29"/>
      <c r="H38" s="50"/>
      <c r="I38" s="29"/>
      <c r="J38" s="29"/>
      <c r="K38" s="29"/>
      <c r="L38" s="51">
        <f>(H28+F28)/(D28)</f>
        <v>0.4084507042253521</v>
      </c>
      <c r="M38" s="29"/>
      <c r="N38" s="6"/>
    </row>
    <row r="39" spans="1:14" ht="15.75">
      <c r="A39" s="28"/>
      <c r="B39" s="29" t="s">
        <v>27</v>
      </c>
      <c r="C39" s="29"/>
      <c r="D39" s="50"/>
      <c r="E39" s="29"/>
      <c r="F39" s="50"/>
      <c r="G39" s="29"/>
      <c r="H39" s="50"/>
      <c r="I39" s="29"/>
      <c r="J39" s="29"/>
      <c r="K39" s="29"/>
      <c r="L39" s="51">
        <f>(H30+F30)/(D30)</f>
        <v>0.4084507042253521</v>
      </c>
      <c r="M39" s="29"/>
      <c r="N39" s="6"/>
    </row>
    <row r="40" spans="1:14" ht="15.75">
      <c r="A40" s="28"/>
      <c r="B40" s="29" t="s">
        <v>28</v>
      </c>
      <c r="C40" s="29"/>
      <c r="D40" s="29"/>
      <c r="E40" s="29"/>
      <c r="F40" s="50"/>
      <c r="G40" s="29"/>
      <c r="H40" s="50"/>
      <c r="I40" s="29"/>
      <c r="J40" s="36" t="s">
        <v>142</v>
      </c>
      <c r="K40" s="36" t="s">
        <v>185</v>
      </c>
      <c r="L40" s="37">
        <v>38766</v>
      </c>
      <c r="M40" s="29"/>
      <c r="N40" s="6"/>
    </row>
    <row r="41" spans="1:14" ht="15.75">
      <c r="A41" s="28"/>
      <c r="B41" s="29"/>
      <c r="C41" s="29"/>
      <c r="D41" s="50"/>
      <c r="E41" s="29"/>
      <c r="F41" s="50"/>
      <c r="G41" s="29"/>
      <c r="H41" s="29"/>
      <c r="I41" s="29"/>
      <c r="J41" s="29" t="s">
        <v>177</v>
      </c>
      <c r="K41" s="29"/>
      <c r="L41" s="54"/>
      <c r="M41" s="29"/>
      <c r="N41" s="6"/>
    </row>
    <row r="42" spans="1:14" ht="15.75">
      <c r="A42" s="28"/>
      <c r="B42" s="29" t="s">
        <v>29</v>
      </c>
      <c r="C42" s="29"/>
      <c r="D42" s="29"/>
      <c r="E42" s="29"/>
      <c r="F42" s="29"/>
      <c r="G42" s="29"/>
      <c r="H42" s="29"/>
      <c r="I42" s="29"/>
      <c r="J42" s="36"/>
      <c r="K42" s="36"/>
      <c r="L42" s="36" t="s">
        <v>187</v>
      </c>
      <c r="M42" s="29"/>
      <c r="N42" s="6"/>
    </row>
    <row r="43" spans="1:14" ht="15.75">
      <c r="A43" s="43"/>
      <c r="B43" s="33" t="s">
        <v>30</v>
      </c>
      <c r="C43" s="33"/>
      <c r="D43" s="33"/>
      <c r="E43" s="33"/>
      <c r="F43" s="33"/>
      <c r="G43" s="33"/>
      <c r="H43" s="33"/>
      <c r="I43" s="33"/>
      <c r="J43" s="55"/>
      <c r="K43" s="55"/>
      <c r="L43" s="56">
        <v>38153</v>
      </c>
      <c r="M43" s="33"/>
      <c r="N43" s="6"/>
    </row>
    <row r="44" spans="1:14" ht="15.75">
      <c r="A44" s="28"/>
      <c r="B44" s="29" t="s">
        <v>31</v>
      </c>
      <c r="C44" s="29"/>
      <c r="D44" s="29"/>
      <c r="E44" s="29"/>
      <c r="F44" s="29"/>
      <c r="G44" s="29"/>
      <c r="H44" s="32"/>
      <c r="I44" s="29">
        <f>L44-J44+1</f>
        <v>91</v>
      </c>
      <c r="J44" s="58">
        <v>37970</v>
      </c>
      <c r="K44" s="59"/>
      <c r="L44" s="58">
        <v>38060</v>
      </c>
      <c r="M44" s="29"/>
      <c r="N44" s="6"/>
    </row>
    <row r="45" spans="1:14" ht="15.75">
      <c r="A45" s="28"/>
      <c r="B45" s="29" t="s">
        <v>32</v>
      </c>
      <c r="C45" s="29"/>
      <c r="D45" s="29"/>
      <c r="E45" s="29"/>
      <c r="F45" s="29"/>
      <c r="G45" s="29"/>
      <c r="H45" s="32"/>
      <c r="I45" s="29">
        <f>L45-J45+1</f>
        <v>92</v>
      </c>
      <c r="J45" s="58">
        <v>38061</v>
      </c>
      <c r="K45" s="59"/>
      <c r="L45" s="58">
        <v>38152</v>
      </c>
      <c r="M45" s="29"/>
      <c r="N45" s="6"/>
    </row>
    <row r="46" spans="1:14" ht="15.75">
      <c r="A46" s="28"/>
      <c r="B46" s="29" t="s">
        <v>33</v>
      </c>
      <c r="C46" s="29"/>
      <c r="D46" s="29"/>
      <c r="E46" s="29"/>
      <c r="F46" s="29"/>
      <c r="G46" s="29"/>
      <c r="H46" s="29"/>
      <c r="I46" s="29"/>
      <c r="J46" s="58"/>
      <c r="K46" s="59"/>
      <c r="L46" s="58" t="s">
        <v>202</v>
      </c>
      <c r="M46" s="29"/>
      <c r="N46" s="6"/>
    </row>
    <row r="47" spans="1:14" ht="15.75">
      <c r="A47" s="28"/>
      <c r="B47" s="29" t="s">
        <v>34</v>
      </c>
      <c r="C47" s="29"/>
      <c r="D47" s="29"/>
      <c r="E47" s="29"/>
      <c r="F47" s="29"/>
      <c r="G47" s="29"/>
      <c r="H47" s="29"/>
      <c r="I47" s="29"/>
      <c r="J47" s="58"/>
      <c r="K47" s="59"/>
      <c r="L47" s="58">
        <v>38142</v>
      </c>
      <c r="M47" s="29"/>
      <c r="N47" s="6"/>
    </row>
    <row r="48" spans="1:14" ht="15.75">
      <c r="A48" s="28"/>
      <c r="B48" s="29"/>
      <c r="C48" s="29"/>
      <c r="D48" s="29"/>
      <c r="E48" s="29"/>
      <c r="F48" s="29"/>
      <c r="G48" s="29"/>
      <c r="H48" s="29"/>
      <c r="I48" s="29"/>
      <c r="J48" s="29"/>
      <c r="K48" s="29"/>
      <c r="L48" s="60"/>
      <c r="M48" s="29"/>
      <c r="N48" s="6"/>
    </row>
    <row r="49" spans="1:14" ht="15.75">
      <c r="A49" s="7"/>
      <c r="B49" s="9"/>
      <c r="C49" s="9"/>
      <c r="D49" s="9"/>
      <c r="E49" s="9"/>
      <c r="F49" s="9"/>
      <c r="G49" s="9"/>
      <c r="H49" s="9"/>
      <c r="I49" s="9"/>
      <c r="J49" s="9"/>
      <c r="K49" s="9"/>
      <c r="L49" s="61"/>
      <c r="M49" s="9"/>
      <c r="N49" s="6"/>
    </row>
    <row r="50" spans="1:14" ht="16.5" thickBot="1">
      <c r="A50" s="144"/>
      <c r="B50" s="145" t="s">
        <v>203</v>
      </c>
      <c r="C50" s="146"/>
      <c r="D50" s="146"/>
      <c r="E50" s="146"/>
      <c r="F50" s="146"/>
      <c r="G50" s="146"/>
      <c r="H50" s="146"/>
      <c r="I50" s="146"/>
      <c r="J50" s="146"/>
      <c r="K50" s="146"/>
      <c r="L50" s="147"/>
      <c r="M50" s="148"/>
      <c r="N50" s="6"/>
    </row>
    <row r="51" spans="1:14" ht="15.75">
      <c r="A51" s="2"/>
      <c r="B51" s="5"/>
      <c r="C51" s="5"/>
      <c r="D51" s="5"/>
      <c r="E51" s="5"/>
      <c r="F51" s="5"/>
      <c r="G51" s="5"/>
      <c r="H51" s="5"/>
      <c r="I51" s="5"/>
      <c r="J51" s="5"/>
      <c r="K51" s="5"/>
      <c r="L51" s="62"/>
      <c r="M51" s="5"/>
      <c r="N51" s="6"/>
    </row>
    <row r="52" spans="1:14" ht="15.75">
      <c r="A52" s="7"/>
      <c r="B52" s="63" t="s">
        <v>36</v>
      </c>
      <c r="C52" s="15"/>
      <c r="D52" s="9"/>
      <c r="E52" s="9"/>
      <c r="F52" s="9"/>
      <c r="G52" s="9"/>
      <c r="H52" s="9"/>
      <c r="I52" s="9"/>
      <c r="J52" s="9"/>
      <c r="K52" s="9"/>
      <c r="L52" s="64"/>
      <c r="M52" s="9"/>
      <c r="N52" s="6"/>
    </row>
    <row r="53" spans="1:14" ht="15.75">
      <c r="A53" s="7"/>
      <c r="B53" s="15"/>
      <c r="C53" s="15"/>
      <c r="D53" s="9"/>
      <c r="E53" s="9"/>
      <c r="F53" s="9"/>
      <c r="G53" s="9"/>
      <c r="H53" s="9"/>
      <c r="I53" s="9"/>
      <c r="J53" s="9"/>
      <c r="K53" s="9"/>
      <c r="L53" s="64"/>
      <c r="M53" s="9"/>
      <c r="N53" s="6"/>
    </row>
    <row r="54" spans="1:14" ht="47.25">
      <c r="A54" s="7"/>
      <c r="B54" s="65"/>
      <c r="C54" s="162" t="s">
        <v>139</v>
      </c>
      <c r="D54" s="162" t="s">
        <v>149</v>
      </c>
      <c r="E54" s="162"/>
      <c r="F54" s="162" t="s">
        <v>164</v>
      </c>
      <c r="G54" s="162"/>
      <c r="H54" s="162" t="s">
        <v>175</v>
      </c>
      <c r="I54" s="162"/>
      <c r="J54" s="162" t="s">
        <v>178</v>
      </c>
      <c r="K54" s="162"/>
      <c r="L54" s="163" t="s">
        <v>189</v>
      </c>
      <c r="M54" s="158"/>
      <c r="N54" s="6"/>
    </row>
    <row r="55" spans="1:14" ht="15.75">
      <c r="A55" s="28"/>
      <c r="B55" s="29" t="s">
        <v>37</v>
      </c>
      <c r="C55" s="66">
        <f>81776+9633</f>
        <v>91409</v>
      </c>
      <c r="D55" s="66">
        <v>59143</v>
      </c>
      <c r="E55" s="66"/>
      <c r="F55" s="66">
        <f>2167+2189+99+22+264+9+1</f>
        <v>4751</v>
      </c>
      <c r="G55" s="66"/>
      <c r="H55" s="66">
        <v>0</v>
      </c>
      <c r="I55" s="66"/>
      <c r="J55" s="66">
        <v>0</v>
      </c>
      <c r="K55" s="66"/>
      <c r="L55" s="67">
        <f>D55-F55+H55-J55</f>
        <v>54392</v>
      </c>
      <c r="M55" s="29"/>
      <c r="N55" s="6"/>
    </row>
    <row r="56" spans="1:14" ht="15.75">
      <c r="A56" s="28"/>
      <c r="B56" s="29" t="s">
        <v>38</v>
      </c>
      <c r="C56" s="66">
        <v>1</v>
      </c>
      <c r="D56" s="66">
        <v>0</v>
      </c>
      <c r="E56" s="66"/>
      <c r="F56" s="66"/>
      <c r="G56" s="66"/>
      <c r="H56" s="66">
        <v>0</v>
      </c>
      <c r="I56" s="66"/>
      <c r="J56" s="66">
        <v>0</v>
      </c>
      <c r="K56" s="66"/>
      <c r="L56" s="67">
        <f>D56-F56</f>
        <v>0</v>
      </c>
      <c r="M56" s="29"/>
      <c r="N56" s="6"/>
    </row>
    <row r="57" spans="1:14" ht="15.75">
      <c r="A57" s="28"/>
      <c r="B57" s="29"/>
      <c r="C57" s="66"/>
      <c r="D57" s="66"/>
      <c r="E57" s="66"/>
      <c r="F57" s="66"/>
      <c r="G57" s="66"/>
      <c r="H57" s="66"/>
      <c r="I57" s="66"/>
      <c r="J57" s="66"/>
      <c r="K57" s="66"/>
      <c r="L57" s="67"/>
      <c r="M57" s="29"/>
      <c r="N57" s="6"/>
    </row>
    <row r="58" spans="1:14" ht="15.75">
      <c r="A58" s="28"/>
      <c r="B58" s="29" t="s">
        <v>39</v>
      </c>
      <c r="C58" s="66">
        <f>59449+801</f>
        <v>60250</v>
      </c>
      <c r="D58" s="66">
        <v>25417</v>
      </c>
      <c r="E58" s="66"/>
      <c r="F58" s="66">
        <f>6668+2</f>
        <v>6670</v>
      </c>
      <c r="G58" s="66"/>
      <c r="H58" s="66">
        <v>0</v>
      </c>
      <c r="I58" s="66"/>
      <c r="J58" s="66">
        <f>SUM(J55:J57)</f>
        <v>0</v>
      </c>
      <c r="K58" s="66"/>
      <c r="L58" s="67">
        <f>D58-F58+H58-J58</f>
        <v>18747</v>
      </c>
      <c r="M58" s="29"/>
      <c r="N58" s="6"/>
    </row>
    <row r="59" spans="1:15" ht="15.75">
      <c r="A59" s="28"/>
      <c r="B59" s="29" t="s">
        <v>38</v>
      </c>
      <c r="C59" s="66">
        <v>136</v>
      </c>
      <c r="D59" s="66"/>
      <c r="E59" s="66"/>
      <c r="F59" s="66"/>
      <c r="G59" s="66"/>
      <c r="H59" s="66">
        <v>0</v>
      </c>
      <c r="I59" s="66"/>
      <c r="J59" s="66">
        <v>0</v>
      </c>
      <c r="K59" s="66"/>
      <c r="L59" s="68"/>
      <c r="M59" s="29"/>
      <c r="N59" s="6"/>
      <c r="O59" s="179"/>
    </row>
    <row r="60" spans="1:14" ht="15.75">
      <c r="A60" s="28"/>
      <c r="B60" s="69"/>
      <c r="C60" s="66"/>
      <c r="D60" s="66"/>
      <c r="E60" s="66"/>
      <c r="F60" s="70"/>
      <c r="G60" s="66"/>
      <c r="H60" s="66"/>
      <c r="I60" s="66"/>
      <c r="J60" s="66"/>
      <c r="K60" s="66"/>
      <c r="L60" s="68"/>
      <c r="M60" s="29"/>
      <c r="N60" s="6"/>
    </row>
    <row r="61" spans="1:14" ht="15.75">
      <c r="A61" s="28"/>
      <c r="B61" s="29" t="s">
        <v>40</v>
      </c>
      <c r="C61" s="66">
        <v>25730</v>
      </c>
      <c r="D61" s="66">
        <v>95291</v>
      </c>
      <c r="E61" s="66"/>
      <c r="F61" s="66">
        <f>16257+68</f>
        <v>16325</v>
      </c>
      <c r="G61" s="66"/>
      <c r="H61" s="66">
        <v>19924</v>
      </c>
      <c r="I61" s="66"/>
      <c r="J61" s="66">
        <v>0</v>
      </c>
      <c r="K61" s="66"/>
      <c r="L61" s="67">
        <f>D61-F61+H61-J61</f>
        <v>98890</v>
      </c>
      <c r="M61" s="29"/>
      <c r="N61" s="6"/>
    </row>
    <row r="62" spans="1:14" ht="15.75">
      <c r="A62" s="28"/>
      <c r="B62" s="29" t="s">
        <v>38</v>
      </c>
      <c r="C62" s="66">
        <v>260</v>
      </c>
      <c r="D62" s="67">
        <v>0</v>
      </c>
      <c r="E62" s="66"/>
      <c r="F62" s="66"/>
      <c r="G62" s="66"/>
      <c r="H62" s="66">
        <v>0</v>
      </c>
      <c r="I62" s="66"/>
      <c r="J62" s="66">
        <v>0</v>
      </c>
      <c r="K62" s="66"/>
      <c r="L62" s="67">
        <f>D62-F62+H62-J62</f>
        <v>0</v>
      </c>
      <c r="M62" s="29"/>
      <c r="N62" s="6"/>
    </row>
    <row r="63" spans="1:14" ht="15.75">
      <c r="A63" s="28"/>
      <c r="B63" s="29"/>
      <c r="C63" s="66"/>
      <c r="D63" s="67"/>
      <c r="E63" s="66"/>
      <c r="F63" s="66"/>
      <c r="G63" s="66"/>
      <c r="H63" s="66"/>
      <c r="I63" s="66"/>
      <c r="J63" s="66"/>
      <c r="K63" s="66"/>
      <c r="L63" s="67"/>
      <c r="M63" s="29"/>
      <c r="N63" s="6"/>
    </row>
    <row r="64" spans="1:14" ht="15.75">
      <c r="A64" s="28"/>
      <c r="B64" s="29" t="s">
        <v>41</v>
      </c>
      <c r="C64" s="66">
        <v>26410</v>
      </c>
      <c r="D64" s="67">
        <v>52985</v>
      </c>
      <c r="E64" s="66"/>
      <c r="F64" s="66">
        <f>9782+284+164</f>
        <v>10230</v>
      </c>
      <c r="G64" s="66"/>
      <c r="H64" s="66">
        <v>8736</v>
      </c>
      <c r="I64" s="66"/>
      <c r="J64" s="66">
        <v>0</v>
      </c>
      <c r="K64" s="66"/>
      <c r="L64" s="67">
        <f>D64-F64+H64-J64</f>
        <v>51491</v>
      </c>
      <c r="M64" s="29"/>
      <c r="N64" s="6"/>
    </row>
    <row r="65" spans="1:14" ht="15.75">
      <c r="A65" s="28"/>
      <c r="B65" s="29" t="s">
        <v>38</v>
      </c>
      <c r="C65" s="66">
        <v>229</v>
      </c>
      <c r="D65" s="67"/>
      <c r="E65" s="66"/>
      <c r="F65" s="66"/>
      <c r="G65" s="66"/>
      <c r="H65" s="66">
        <v>0</v>
      </c>
      <c r="I65" s="66"/>
      <c r="J65" s="66">
        <v>0</v>
      </c>
      <c r="K65" s="66"/>
      <c r="L65" s="67"/>
      <c r="M65" s="29"/>
      <c r="N65" s="6"/>
    </row>
    <row r="66" spans="1:14" ht="15.75">
      <c r="A66" s="28"/>
      <c r="B66" s="66"/>
      <c r="C66" s="66"/>
      <c r="D66" s="67"/>
      <c r="E66" s="66"/>
      <c r="F66" s="66"/>
      <c r="G66" s="66"/>
      <c r="H66" s="66"/>
      <c r="I66" s="66"/>
      <c r="J66" s="66"/>
      <c r="K66" s="66"/>
      <c r="L66" s="67"/>
      <c r="M66" s="29"/>
      <c r="N66" s="6"/>
    </row>
    <row r="67" spans="1:14" ht="15.75">
      <c r="A67" s="28"/>
      <c r="B67" s="29" t="s">
        <v>42</v>
      </c>
      <c r="C67" s="66">
        <f>SUM(C55:C65)</f>
        <v>204425</v>
      </c>
      <c r="D67" s="66">
        <f>SUM(D55:D64)</f>
        <v>232836</v>
      </c>
      <c r="E67" s="66"/>
      <c r="F67" s="66">
        <f>SUM(F55:F65)</f>
        <v>37976</v>
      </c>
      <c r="G67" s="66"/>
      <c r="H67" s="66">
        <f>SUM(H55:H65)</f>
        <v>28660</v>
      </c>
      <c r="I67" s="66"/>
      <c r="J67" s="66">
        <f>SUM(J62:J66)</f>
        <v>0</v>
      </c>
      <c r="K67" s="66"/>
      <c r="L67" s="66">
        <f>SUM(L55:L66)</f>
        <v>223520</v>
      </c>
      <c r="M67" s="29"/>
      <c r="N67" s="6"/>
    </row>
    <row r="68" spans="1:14" ht="15.75">
      <c r="A68" s="28"/>
      <c r="B68" s="29"/>
      <c r="C68" s="66"/>
      <c r="D68" s="68"/>
      <c r="E68" s="66"/>
      <c r="F68" s="66"/>
      <c r="G68" s="66"/>
      <c r="H68" s="66"/>
      <c r="I68" s="66"/>
      <c r="J68" s="66"/>
      <c r="K68" s="66"/>
      <c r="L68" s="68"/>
      <c r="M68" s="29"/>
      <c r="N68" s="6"/>
    </row>
    <row r="69" spans="1:14" ht="15.75">
      <c r="A69" s="28"/>
      <c r="B69" s="29" t="s">
        <v>43</v>
      </c>
      <c r="C69" s="66">
        <f>-1789-10434</f>
        <v>-12223</v>
      </c>
      <c r="D69" s="66">
        <v>-28178</v>
      </c>
      <c r="E69" s="66"/>
      <c r="F69" s="66">
        <v>249</v>
      </c>
      <c r="G69" s="66"/>
      <c r="H69" s="66"/>
      <c r="I69" s="66"/>
      <c r="J69" s="66"/>
      <c r="K69" s="66"/>
      <c r="L69" s="66">
        <f>D69-F69</f>
        <v>-28427</v>
      </c>
      <c r="M69" s="29"/>
      <c r="N69" s="6"/>
    </row>
    <row r="70" spans="1:15" ht="15.75">
      <c r="A70" s="28"/>
      <c r="B70" s="29" t="s">
        <v>44</v>
      </c>
      <c r="C70" s="66">
        <v>58798</v>
      </c>
      <c r="D70" s="68">
        <v>46342</v>
      </c>
      <c r="E70" s="66"/>
      <c r="F70" s="66">
        <f>SUM(F67:F69)</f>
        <v>38225</v>
      </c>
      <c r="G70" s="66"/>
      <c r="H70" s="66">
        <f>-H67</f>
        <v>-28660</v>
      </c>
      <c r="I70" s="66"/>
      <c r="J70" s="66"/>
      <c r="K70" s="66"/>
      <c r="L70" s="68">
        <f>D70+F70+H70+D73</f>
        <v>55907</v>
      </c>
      <c r="M70" s="29"/>
      <c r="N70" s="6"/>
      <c r="O70" s="72"/>
    </row>
    <row r="71" spans="1:14" ht="15.75">
      <c r="A71" s="28"/>
      <c r="B71" s="29" t="s">
        <v>45</v>
      </c>
      <c r="C71" s="66">
        <v>0</v>
      </c>
      <c r="D71" s="68">
        <v>0</v>
      </c>
      <c r="E71" s="66"/>
      <c r="F71" s="66"/>
      <c r="G71" s="66"/>
      <c r="H71" s="66">
        <v>0</v>
      </c>
      <c r="I71" s="66"/>
      <c r="J71" s="66"/>
      <c r="K71" s="66"/>
      <c r="L71" s="68">
        <f>H71+D71</f>
        <v>0</v>
      </c>
      <c r="M71" s="29"/>
      <c r="N71" s="6"/>
    </row>
    <row r="72" spans="1:14" ht="15.75">
      <c r="A72" s="28"/>
      <c r="B72" s="29" t="s">
        <v>46</v>
      </c>
      <c r="C72" s="66">
        <v>0</v>
      </c>
      <c r="D72" s="68">
        <v>0</v>
      </c>
      <c r="E72" s="66"/>
      <c r="F72" s="66">
        <v>0</v>
      </c>
      <c r="G72" s="66"/>
      <c r="H72" s="66"/>
      <c r="I72" s="66"/>
      <c r="J72" s="66"/>
      <c r="K72" s="66"/>
      <c r="L72" s="68">
        <f>D72+F72+H72</f>
        <v>0</v>
      </c>
      <c r="M72" s="29"/>
      <c r="N72" s="6"/>
    </row>
    <row r="73" spans="1:14" ht="15.75">
      <c r="A73" s="28"/>
      <c r="B73" s="29" t="s">
        <v>47</v>
      </c>
      <c r="C73" s="66">
        <v>0</v>
      </c>
      <c r="D73" s="68">
        <v>0</v>
      </c>
      <c r="E73" s="66"/>
      <c r="F73" s="66"/>
      <c r="G73" s="66"/>
      <c r="H73" s="156"/>
      <c r="I73" s="66"/>
      <c r="J73" s="66"/>
      <c r="K73" s="66"/>
      <c r="L73" s="68">
        <v>0</v>
      </c>
      <c r="M73" s="29"/>
      <c r="N73" s="6"/>
    </row>
    <row r="74" spans="1:14" ht="15.75">
      <c r="A74" s="28"/>
      <c r="B74" s="29" t="s">
        <v>19</v>
      </c>
      <c r="C74" s="68">
        <f>SUM(C67:C73)</f>
        <v>251000</v>
      </c>
      <c r="D74" s="68">
        <f>SUM(D67:D73)</f>
        <v>251000</v>
      </c>
      <c r="E74" s="66"/>
      <c r="F74" s="66">
        <f>F70-F73-F72</f>
        <v>38225</v>
      </c>
      <c r="G74" s="66"/>
      <c r="H74" s="66"/>
      <c r="I74" s="66"/>
      <c r="J74" s="66"/>
      <c r="K74" s="66"/>
      <c r="L74" s="68">
        <f>SUM(L67:L73)</f>
        <v>251000</v>
      </c>
      <c r="M74" s="29"/>
      <c r="N74" s="6"/>
    </row>
    <row r="75" spans="1:14" ht="15.75">
      <c r="A75" s="28"/>
      <c r="B75" s="66"/>
      <c r="C75" s="29"/>
      <c r="D75" s="29"/>
      <c r="E75" s="29"/>
      <c r="F75" s="29"/>
      <c r="G75" s="29"/>
      <c r="H75" s="29"/>
      <c r="I75" s="29"/>
      <c r="J75" s="36"/>
      <c r="K75" s="29"/>
      <c r="L75" s="36"/>
      <c r="M75" s="29"/>
      <c r="N75" s="6"/>
    </row>
    <row r="76" spans="1:14" ht="15.75">
      <c r="A76" s="7"/>
      <c r="B76" s="63" t="s">
        <v>48</v>
      </c>
      <c r="C76" s="16"/>
      <c r="D76" s="16"/>
      <c r="E76" s="16"/>
      <c r="F76" s="16"/>
      <c r="G76" s="16"/>
      <c r="H76" s="16"/>
      <c r="I76" s="19"/>
      <c r="J76" s="19"/>
      <c r="K76" s="19"/>
      <c r="L76" s="19" t="s">
        <v>190</v>
      </c>
      <c r="M76" s="16"/>
      <c r="N76" s="6"/>
    </row>
    <row r="77" spans="1:14" ht="15.75">
      <c r="A77" s="28"/>
      <c r="B77" s="29" t="s">
        <v>49</v>
      </c>
      <c r="C77" s="29"/>
      <c r="D77" s="29"/>
      <c r="E77" s="29"/>
      <c r="F77" s="29"/>
      <c r="G77" s="29"/>
      <c r="H77" s="29"/>
      <c r="I77" s="29"/>
      <c r="J77" s="66"/>
      <c r="K77" s="29"/>
      <c r="L77" s="67">
        <f>71968</f>
        <v>71968</v>
      </c>
      <c r="M77" s="29"/>
      <c r="N77" s="6"/>
    </row>
    <row r="78" spans="1:14" ht="15.75">
      <c r="A78" s="28"/>
      <c r="B78" s="29" t="s">
        <v>50</v>
      </c>
      <c r="C78" s="53"/>
      <c r="D78" s="57"/>
      <c r="E78" s="29"/>
      <c r="F78" s="29"/>
      <c r="G78" s="29"/>
      <c r="H78" s="29"/>
      <c r="I78" s="29"/>
      <c r="J78" s="66"/>
      <c r="K78" s="29"/>
      <c r="L78" s="67">
        <f>1425+52-24+250+5</f>
        <v>1708</v>
      </c>
      <c r="M78" s="29"/>
      <c r="N78" s="6"/>
    </row>
    <row r="79" spans="1:14" ht="15.75">
      <c r="A79" s="28"/>
      <c r="B79" s="29" t="s">
        <v>51</v>
      </c>
      <c r="C79" s="53"/>
      <c r="D79" s="57"/>
      <c r="E79" s="29"/>
      <c r="F79" s="29"/>
      <c r="G79" s="29"/>
      <c r="H79" s="29"/>
      <c r="I79" s="29"/>
      <c r="J79" s="66"/>
      <c r="K79" s="29"/>
      <c r="L79" s="67">
        <v>-10793</v>
      </c>
      <c r="M79" s="29"/>
      <c r="N79" s="6"/>
    </row>
    <row r="80" spans="1:14" ht="15.75">
      <c r="A80" s="28"/>
      <c r="B80" s="29" t="s">
        <v>192</v>
      </c>
      <c r="C80" s="53"/>
      <c r="D80" s="57"/>
      <c r="E80" s="29"/>
      <c r="F80" s="29"/>
      <c r="G80" s="29"/>
      <c r="H80" s="29"/>
      <c r="I80" s="29"/>
      <c r="J80" s="66"/>
      <c r="K80" s="29"/>
      <c r="L80" s="67">
        <v>-33</v>
      </c>
      <c r="M80" s="29"/>
      <c r="N80" s="6"/>
    </row>
    <row r="81" spans="1:14" ht="15.75">
      <c r="A81" s="28"/>
      <c r="B81" s="29" t="s">
        <v>52</v>
      </c>
      <c r="C81" s="29"/>
      <c r="D81" s="29"/>
      <c r="E81" s="29"/>
      <c r="F81" s="29"/>
      <c r="G81" s="29"/>
      <c r="H81" s="29"/>
      <c r="I81" s="29"/>
      <c r="J81" s="66"/>
      <c r="K81" s="29"/>
      <c r="L81" s="67">
        <v>0</v>
      </c>
      <c r="M81" s="29"/>
      <c r="N81" s="6"/>
    </row>
    <row r="82" spans="1:14" ht="15.75">
      <c r="A82" s="28"/>
      <c r="B82" s="29" t="s">
        <v>53</v>
      </c>
      <c r="C82" s="29"/>
      <c r="D82" s="29"/>
      <c r="E82" s="29"/>
      <c r="F82" s="29"/>
      <c r="G82" s="29"/>
      <c r="H82" s="29"/>
      <c r="I82" s="29"/>
      <c r="J82" s="66"/>
      <c r="K82" s="29"/>
      <c r="L82" s="67">
        <f>SUM(L77:L81)</f>
        <v>62850</v>
      </c>
      <c r="M82" s="29"/>
      <c r="N82" s="6"/>
    </row>
    <row r="83" spans="1:14" ht="15.75">
      <c r="A83" s="28"/>
      <c r="B83" s="29"/>
      <c r="C83" s="29"/>
      <c r="D83" s="29"/>
      <c r="E83" s="29"/>
      <c r="F83" s="29"/>
      <c r="G83" s="29"/>
      <c r="H83" s="29"/>
      <c r="I83" s="29"/>
      <c r="J83" s="66"/>
      <c r="K83" s="29"/>
      <c r="L83" s="68"/>
      <c r="M83" s="29"/>
      <c r="N83" s="6"/>
    </row>
    <row r="84" spans="1:14" ht="15.75">
      <c r="A84" s="28"/>
      <c r="B84" s="164" t="s">
        <v>54</v>
      </c>
      <c r="C84" s="73"/>
      <c r="D84" s="29"/>
      <c r="E84" s="29"/>
      <c r="F84" s="29"/>
      <c r="G84" s="29"/>
      <c r="H84" s="29"/>
      <c r="I84" s="29"/>
      <c r="J84" s="66"/>
      <c r="K84" s="29"/>
      <c r="L84" s="67"/>
      <c r="M84" s="29"/>
      <c r="N84" s="6"/>
    </row>
    <row r="85" spans="1:14" ht="15.75">
      <c r="A85" s="28">
        <v>1</v>
      </c>
      <c r="B85" s="29" t="s">
        <v>55</v>
      </c>
      <c r="C85" s="29"/>
      <c r="D85" s="29"/>
      <c r="E85" s="29"/>
      <c r="F85" s="29"/>
      <c r="G85" s="29"/>
      <c r="H85" s="29"/>
      <c r="I85" s="29"/>
      <c r="J85" s="29"/>
      <c r="K85" s="29"/>
      <c r="L85" s="67">
        <v>-4</v>
      </c>
      <c r="M85" s="29"/>
      <c r="N85" s="6"/>
    </row>
    <row r="86" spans="1:14" ht="15.75">
      <c r="A86" s="28">
        <f aca="true" t="shared" si="0" ref="A86:A94">A85+1</f>
        <v>2</v>
      </c>
      <c r="B86" s="29" t="s">
        <v>56</v>
      </c>
      <c r="C86" s="29"/>
      <c r="D86" s="29"/>
      <c r="E86" s="29"/>
      <c r="F86" s="29"/>
      <c r="G86" s="29"/>
      <c r="H86" s="29"/>
      <c r="I86" s="29"/>
      <c r="J86" s="29"/>
      <c r="K86" s="29"/>
      <c r="L86" s="67">
        <f>-502-97</f>
        <v>-599</v>
      </c>
      <c r="M86" s="29"/>
      <c r="N86" s="6"/>
    </row>
    <row r="87" spans="1:14" ht="15.75">
      <c r="A87" s="28">
        <f t="shared" si="0"/>
        <v>3</v>
      </c>
      <c r="B87" s="29" t="s">
        <v>57</v>
      </c>
      <c r="C87" s="29"/>
      <c r="D87" s="29"/>
      <c r="E87" s="29"/>
      <c r="F87" s="29"/>
      <c r="G87" s="29"/>
      <c r="H87" s="29"/>
      <c r="I87" s="29"/>
      <c r="J87" s="29"/>
      <c r="K87" s="29"/>
      <c r="L87" s="67">
        <v>-127</v>
      </c>
      <c r="M87" s="29"/>
      <c r="N87" s="6"/>
    </row>
    <row r="88" spans="1:14" ht="15.75">
      <c r="A88" s="28">
        <f t="shared" si="0"/>
        <v>4</v>
      </c>
      <c r="B88" s="29" t="s">
        <v>58</v>
      </c>
      <c r="C88" s="29"/>
      <c r="D88" s="29"/>
      <c r="E88" s="29"/>
      <c r="F88" s="29"/>
      <c r="G88" s="29"/>
      <c r="H88" s="29"/>
      <c r="I88" s="29"/>
      <c r="J88" s="29"/>
      <c r="K88" s="29"/>
      <c r="L88" s="67">
        <v>-2043</v>
      </c>
      <c r="M88" s="29"/>
      <c r="N88" s="6"/>
    </row>
    <row r="89" spans="1:14" ht="15.75">
      <c r="A89" s="28">
        <f t="shared" si="0"/>
        <v>5</v>
      </c>
      <c r="B89" s="29" t="s">
        <v>59</v>
      </c>
      <c r="C89" s="29"/>
      <c r="D89" s="29"/>
      <c r="E89" s="29"/>
      <c r="F89" s="29"/>
      <c r="G89" s="29"/>
      <c r="H89" s="29"/>
      <c r="I89" s="29"/>
      <c r="J89" s="29"/>
      <c r="K89" s="29"/>
      <c r="L89" s="67">
        <v>-5</v>
      </c>
      <c r="M89" s="29"/>
      <c r="N89" s="6"/>
    </row>
    <row r="90" spans="1:14" ht="15.75">
      <c r="A90" s="28">
        <f t="shared" si="0"/>
        <v>6</v>
      </c>
      <c r="B90" s="29" t="s">
        <v>60</v>
      </c>
      <c r="C90" s="29"/>
      <c r="D90" s="29"/>
      <c r="E90" s="29"/>
      <c r="F90" s="29"/>
      <c r="G90" s="29"/>
      <c r="H90" s="29"/>
      <c r="I90" s="29"/>
      <c r="J90" s="29"/>
      <c r="K90" s="29"/>
      <c r="L90" s="67">
        <v>-662</v>
      </c>
      <c r="M90" s="29"/>
      <c r="N90" s="6"/>
    </row>
    <row r="91" spans="1:14" ht="15.75">
      <c r="A91" s="28">
        <f t="shared" si="0"/>
        <v>7</v>
      </c>
      <c r="B91" s="29" t="s">
        <v>61</v>
      </c>
      <c r="C91" s="29"/>
      <c r="D91" s="29"/>
      <c r="E91" s="29"/>
      <c r="F91" s="29"/>
      <c r="G91" s="29"/>
      <c r="H91" s="29"/>
      <c r="I91" s="29"/>
      <c r="J91" s="29"/>
      <c r="K91" s="29"/>
      <c r="L91" s="67">
        <v>-350</v>
      </c>
      <c r="M91" s="29"/>
      <c r="N91" s="6"/>
    </row>
    <row r="92" spans="1:14" ht="15.75">
      <c r="A92" s="28">
        <f t="shared" si="0"/>
        <v>8</v>
      </c>
      <c r="B92" s="29" t="s">
        <v>62</v>
      </c>
      <c r="C92" s="29"/>
      <c r="D92" s="29"/>
      <c r="E92" s="29"/>
      <c r="F92" s="29"/>
      <c r="G92" s="29"/>
      <c r="H92" s="29"/>
      <c r="I92" s="29"/>
      <c r="J92" s="29"/>
      <c r="K92" s="29"/>
      <c r="L92" s="67">
        <v>0</v>
      </c>
      <c r="M92" s="29"/>
      <c r="N92" s="6"/>
    </row>
    <row r="93" spans="1:14" ht="15.75">
      <c r="A93" s="28">
        <f t="shared" si="0"/>
        <v>9</v>
      </c>
      <c r="B93" s="29" t="s">
        <v>44</v>
      </c>
      <c r="C93" s="29"/>
      <c r="D93" s="29"/>
      <c r="E93" s="29"/>
      <c r="F93" s="29"/>
      <c r="G93" s="29"/>
      <c r="H93" s="29"/>
      <c r="I93" s="29"/>
      <c r="J93" s="66"/>
      <c r="K93" s="29"/>
      <c r="L93" s="67">
        <f>L82+SUM(L85:L91)-L94</f>
        <v>55909</v>
      </c>
      <c r="M93" s="29"/>
      <c r="N93" s="6"/>
    </row>
    <row r="94" spans="1:15" ht="15.75">
      <c r="A94" s="28">
        <f t="shared" si="0"/>
        <v>10</v>
      </c>
      <c r="B94" s="29" t="s">
        <v>63</v>
      </c>
      <c r="C94" s="29"/>
      <c r="D94" s="29"/>
      <c r="E94" s="29"/>
      <c r="F94" s="29"/>
      <c r="G94" s="29"/>
      <c r="H94" s="29"/>
      <c r="I94" s="29"/>
      <c r="J94" s="29"/>
      <c r="K94" s="29"/>
      <c r="L94" s="67">
        <f>J195+SUM(L82:L91)+J197-J200</f>
        <v>3151</v>
      </c>
      <c r="M94" s="29"/>
      <c r="N94" s="6"/>
      <c r="O94" s="72"/>
    </row>
    <row r="95" spans="1:14" ht="15.75">
      <c r="A95" s="28"/>
      <c r="B95" s="32"/>
      <c r="C95" s="29"/>
      <c r="D95" s="29"/>
      <c r="E95" s="29"/>
      <c r="F95" s="29"/>
      <c r="G95" s="29"/>
      <c r="H95" s="29"/>
      <c r="I95" s="29"/>
      <c r="J95" s="66"/>
      <c r="K95" s="66"/>
      <c r="L95" s="66"/>
      <c r="M95" s="29"/>
      <c r="N95" s="6"/>
    </row>
    <row r="96" spans="1:14" ht="15.75">
      <c r="A96" s="7"/>
      <c r="B96" s="14"/>
      <c r="C96" s="9"/>
      <c r="D96" s="9"/>
      <c r="E96" s="9"/>
      <c r="F96" s="9"/>
      <c r="G96" s="9"/>
      <c r="H96" s="9"/>
      <c r="I96" s="9"/>
      <c r="J96" s="74"/>
      <c r="K96" s="74"/>
      <c r="L96" s="74"/>
      <c r="M96" s="9"/>
      <c r="N96" s="6"/>
    </row>
    <row r="97" spans="1:14" ht="16.5" thickBot="1">
      <c r="A97" s="144"/>
      <c r="B97" s="145" t="str">
        <f>B50</f>
        <v>PPAF1 INVESTOR REPORT QUARTER ENDING MAY 2004</v>
      </c>
      <c r="C97" s="146"/>
      <c r="D97" s="146"/>
      <c r="E97" s="146"/>
      <c r="F97" s="146"/>
      <c r="G97" s="146"/>
      <c r="H97" s="146"/>
      <c r="I97" s="146"/>
      <c r="J97" s="149"/>
      <c r="K97" s="149"/>
      <c r="L97" s="149"/>
      <c r="M97" s="148"/>
      <c r="N97" s="6"/>
    </row>
    <row r="98" spans="1:14" ht="15.75">
      <c r="A98" s="2"/>
      <c r="B98" s="5"/>
      <c r="C98" s="5"/>
      <c r="D98" s="5"/>
      <c r="E98" s="5"/>
      <c r="F98" s="5"/>
      <c r="G98" s="5"/>
      <c r="H98" s="5"/>
      <c r="I98" s="5"/>
      <c r="J98" s="75"/>
      <c r="K98" s="75"/>
      <c r="L98" s="75"/>
      <c r="M98" s="5"/>
      <c r="N98" s="6"/>
    </row>
    <row r="99" spans="1:14" ht="15.75">
      <c r="A99" s="76"/>
      <c r="B99" s="77" t="s">
        <v>64</v>
      </c>
      <c r="C99" s="78"/>
      <c r="D99" s="78"/>
      <c r="E99" s="78"/>
      <c r="F99" s="78"/>
      <c r="G99" s="78"/>
      <c r="H99" s="78"/>
      <c r="I99" s="78"/>
      <c r="J99" s="78"/>
      <c r="K99" s="78"/>
      <c r="L99" s="79"/>
      <c r="M99" s="80"/>
      <c r="N99" s="6"/>
    </row>
    <row r="100" spans="1:14" ht="15.75">
      <c r="A100" s="76"/>
      <c r="B100" s="78"/>
      <c r="C100" s="78"/>
      <c r="D100" s="78"/>
      <c r="E100" s="78"/>
      <c r="F100" s="78"/>
      <c r="G100" s="78"/>
      <c r="H100" s="78"/>
      <c r="I100" s="78"/>
      <c r="J100" s="78"/>
      <c r="K100" s="78"/>
      <c r="L100" s="79"/>
      <c r="M100" s="78"/>
      <c r="N100" s="6"/>
    </row>
    <row r="101" spans="1:14" ht="15.75">
      <c r="A101" s="7"/>
      <c r="B101" s="165" t="s">
        <v>65</v>
      </c>
      <c r="C101" s="15"/>
      <c r="D101" s="9"/>
      <c r="E101" s="9"/>
      <c r="F101" s="9"/>
      <c r="G101" s="9"/>
      <c r="H101" s="9"/>
      <c r="I101" s="9"/>
      <c r="J101" s="9"/>
      <c r="K101" s="9"/>
      <c r="L101" s="64"/>
      <c r="M101" s="9"/>
      <c r="N101" s="6"/>
    </row>
    <row r="102" spans="1:14" ht="15.75">
      <c r="A102" s="28"/>
      <c r="B102" s="29" t="s">
        <v>66</v>
      </c>
      <c r="C102" s="29"/>
      <c r="D102" s="29"/>
      <c r="E102" s="29"/>
      <c r="F102" s="29"/>
      <c r="G102" s="29"/>
      <c r="H102" s="29"/>
      <c r="I102" s="29"/>
      <c r="J102" s="29"/>
      <c r="K102" s="29"/>
      <c r="L102" s="67">
        <f>10793+400</f>
        <v>11193</v>
      </c>
      <c r="M102" s="29"/>
      <c r="N102" s="6"/>
    </row>
    <row r="103" spans="1:14" ht="15.75">
      <c r="A103" s="28"/>
      <c r="B103" s="29" t="s">
        <v>67</v>
      </c>
      <c r="C103" s="29"/>
      <c r="D103" s="29"/>
      <c r="E103" s="29"/>
      <c r="F103" s="29"/>
      <c r="G103" s="29"/>
      <c r="H103" s="29"/>
      <c r="I103" s="29"/>
      <c r="J103" s="29"/>
      <c r="K103" s="29"/>
      <c r="L103" s="67">
        <v>10793</v>
      </c>
      <c r="M103" s="29"/>
      <c r="N103" s="6"/>
    </row>
    <row r="104" spans="1:14" ht="15.75">
      <c r="A104" s="28"/>
      <c r="B104" s="29" t="s">
        <v>68</v>
      </c>
      <c r="C104" s="29"/>
      <c r="D104" s="29"/>
      <c r="E104" s="29"/>
      <c r="F104" s="29"/>
      <c r="G104" s="29"/>
      <c r="H104" s="29"/>
      <c r="I104" s="29"/>
      <c r="J104" s="29"/>
      <c r="K104" s="29"/>
      <c r="L104" s="67">
        <v>0</v>
      </c>
      <c r="M104" s="29"/>
      <c r="N104" s="6"/>
    </row>
    <row r="105" spans="1:14" ht="15.75">
      <c r="A105" s="28"/>
      <c r="B105" s="29" t="s">
        <v>69</v>
      </c>
      <c r="C105" s="29"/>
      <c r="D105" s="29"/>
      <c r="E105" s="29"/>
      <c r="F105" s="29"/>
      <c r="G105" s="29"/>
      <c r="H105" s="29"/>
      <c r="I105" s="29"/>
      <c r="J105" s="29"/>
      <c r="K105" s="29"/>
      <c r="L105" s="67">
        <v>0</v>
      </c>
      <c r="M105" s="29"/>
      <c r="N105" s="6"/>
    </row>
    <row r="106" spans="1:14" ht="15.75">
      <c r="A106" s="28"/>
      <c r="B106" s="29" t="s">
        <v>70</v>
      </c>
      <c r="C106" s="29"/>
      <c r="D106" s="29"/>
      <c r="E106" s="29"/>
      <c r="F106" s="29"/>
      <c r="G106" s="29"/>
      <c r="H106" s="29"/>
      <c r="I106" s="29"/>
      <c r="J106" s="29"/>
      <c r="K106" s="29"/>
      <c r="L106" s="67">
        <v>0</v>
      </c>
      <c r="M106" s="29"/>
      <c r="N106" s="6"/>
    </row>
    <row r="107" spans="1:14" ht="15.75">
      <c r="A107" s="28"/>
      <c r="B107" s="29" t="s">
        <v>58</v>
      </c>
      <c r="C107" s="29"/>
      <c r="D107" s="29"/>
      <c r="E107" s="29"/>
      <c r="F107" s="29"/>
      <c r="G107" s="29"/>
      <c r="H107" s="29"/>
      <c r="I107" s="29"/>
      <c r="J107" s="29"/>
      <c r="K107" s="29"/>
      <c r="L107" s="67">
        <v>0</v>
      </c>
      <c r="M107" s="29"/>
      <c r="N107" s="6"/>
    </row>
    <row r="108" spans="1:14" ht="15.75">
      <c r="A108" s="28"/>
      <c r="B108" s="29" t="s">
        <v>60</v>
      </c>
      <c r="C108" s="29"/>
      <c r="D108" s="29"/>
      <c r="E108" s="29"/>
      <c r="F108" s="29"/>
      <c r="G108" s="29"/>
      <c r="H108" s="29"/>
      <c r="I108" s="29"/>
      <c r="J108" s="29"/>
      <c r="K108" s="29"/>
      <c r="L108" s="67">
        <v>0</v>
      </c>
      <c r="M108" s="29"/>
      <c r="N108" s="6"/>
    </row>
    <row r="109" spans="1:14" ht="15.75">
      <c r="A109" s="28"/>
      <c r="B109" s="29" t="s">
        <v>61</v>
      </c>
      <c r="C109" s="29"/>
      <c r="D109" s="29"/>
      <c r="E109" s="29"/>
      <c r="F109" s="29"/>
      <c r="G109" s="29"/>
      <c r="H109" s="29"/>
      <c r="I109" s="29"/>
      <c r="J109" s="29"/>
      <c r="K109" s="29"/>
      <c r="L109" s="67">
        <v>0</v>
      </c>
      <c r="M109" s="29"/>
      <c r="N109" s="6"/>
    </row>
    <row r="110" spans="1:14" ht="15.75">
      <c r="A110" s="28"/>
      <c r="B110" s="29" t="s">
        <v>71</v>
      </c>
      <c r="C110" s="29"/>
      <c r="D110" s="29"/>
      <c r="E110" s="29"/>
      <c r="F110" s="29"/>
      <c r="G110" s="29"/>
      <c r="H110" s="29"/>
      <c r="I110" s="29"/>
      <c r="J110" s="29"/>
      <c r="K110" s="29"/>
      <c r="L110" s="67">
        <f>L103</f>
        <v>10793</v>
      </c>
      <c r="M110" s="29"/>
      <c r="N110" s="6"/>
    </row>
    <row r="111" spans="1:14" ht="15.75">
      <c r="A111" s="28"/>
      <c r="B111" s="29"/>
      <c r="C111" s="29"/>
      <c r="D111" s="29"/>
      <c r="E111" s="29"/>
      <c r="F111" s="29"/>
      <c r="G111" s="29"/>
      <c r="H111" s="29"/>
      <c r="I111" s="29"/>
      <c r="J111" s="29"/>
      <c r="K111" s="29"/>
      <c r="L111" s="81"/>
      <c r="M111" s="29"/>
      <c r="N111" s="6"/>
    </row>
    <row r="112" spans="1:14" ht="15.75">
      <c r="A112" s="7"/>
      <c r="B112" s="165" t="s">
        <v>72</v>
      </c>
      <c r="C112" s="15"/>
      <c r="D112" s="9"/>
      <c r="E112" s="9"/>
      <c r="F112" s="9"/>
      <c r="G112" s="157"/>
      <c r="H112" s="9"/>
      <c r="I112" s="9"/>
      <c r="J112" s="9"/>
      <c r="K112" s="9"/>
      <c r="L112" s="83"/>
      <c r="M112" s="9"/>
      <c r="N112" s="6"/>
    </row>
    <row r="113" spans="1:14" ht="15.75">
      <c r="A113" s="7"/>
      <c r="B113" s="15"/>
      <c r="C113" s="19" t="s">
        <v>140</v>
      </c>
      <c r="D113" s="19" t="s">
        <v>150</v>
      </c>
      <c r="E113" s="19" t="s">
        <v>156</v>
      </c>
      <c r="F113" s="19" t="s">
        <v>165</v>
      </c>
      <c r="G113" s="157"/>
      <c r="H113" s="157"/>
      <c r="I113" s="9"/>
      <c r="J113" s="9"/>
      <c r="K113" s="9"/>
      <c r="L113" s="83"/>
      <c r="M113" s="9"/>
      <c r="N113" s="6"/>
    </row>
    <row r="114" spans="1:14" ht="15.75">
      <c r="A114" s="28"/>
      <c r="B114" s="29" t="s">
        <v>73</v>
      </c>
      <c r="C114" s="66">
        <f>E178-'Feb 04'!E178</f>
        <v>101</v>
      </c>
      <c r="D114" s="66">
        <f>J178-'Feb 04'!J178</f>
        <v>151</v>
      </c>
      <c r="E114" s="66">
        <f>E188-'Feb 04'!E188</f>
        <v>3</v>
      </c>
      <c r="F114" s="66">
        <f>J188-'Feb 04'!J188</f>
        <v>-6</v>
      </c>
      <c r="G114" s="156"/>
      <c r="H114" s="156"/>
      <c r="I114" s="29"/>
      <c r="J114" s="29"/>
      <c r="K114" s="29"/>
      <c r="L114" s="67">
        <f>SUM(C114:F114)</f>
        <v>249</v>
      </c>
      <c r="M114" s="29"/>
      <c r="N114" s="6"/>
    </row>
    <row r="115" spans="1:14" ht="15.75">
      <c r="A115" s="28"/>
      <c r="B115" s="29" t="s">
        <v>74</v>
      </c>
      <c r="C115" s="29">
        <f>99+22+265+8</f>
        <v>394</v>
      </c>
      <c r="D115" s="29">
        <v>2</v>
      </c>
      <c r="E115" s="29">
        <v>68</v>
      </c>
      <c r="F115" s="29">
        <f>284+164</f>
        <v>448</v>
      </c>
      <c r="G115" s="156"/>
      <c r="H115" s="156"/>
      <c r="I115" s="29"/>
      <c r="J115" s="29"/>
      <c r="K115" s="29"/>
      <c r="L115" s="67">
        <f>SUM(C115:F115)</f>
        <v>912</v>
      </c>
      <c r="M115" s="29"/>
      <c r="N115" s="6"/>
    </row>
    <row r="116" spans="1:14" ht="15.75">
      <c r="A116" s="28"/>
      <c r="B116" s="29" t="s">
        <v>75</v>
      </c>
      <c r="C116" s="29"/>
      <c r="D116" s="29"/>
      <c r="E116" s="29"/>
      <c r="F116" s="29"/>
      <c r="G116" s="29"/>
      <c r="H116" s="29"/>
      <c r="I116" s="29"/>
      <c r="J116" s="29"/>
      <c r="K116" s="29"/>
      <c r="L116" s="67">
        <f>SUM(L114:L115)</f>
        <v>1161</v>
      </c>
      <c r="M116" s="29"/>
      <c r="N116" s="6"/>
    </row>
    <row r="117" spans="1:14" ht="15.75">
      <c r="A117" s="28"/>
      <c r="B117" s="29" t="s">
        <v>76</v>
      </c>
      <c r="C117" s="66">
        <v>135</v>
      </c>
      <c r="D117" s="29"/>
      <c r="E117" s="29"/>
      <c r="F117" s="29"/>
      <c r="G117" s="29"/>
      <c r="H117" s="29"/>
      <c r="I117" s="29"/>
      <c r="J117" s="29"/>
      <c r="K117" s="29"/>
      <c r="L117" s="85"/>
      <c r="M117" s="29"/>
      <c r="N117" s="6"/>
    </row>
    <row r="118" spans="1:14" ht="15.75">
      <c r="A118" s="7"/>
      <c r="B118" s="165" t="s">
        <v>77</v>
      </c>
      <c r="C118" s="15"/>
      <c r="D118" s="9"/>
      <c r="E118" s="9"/>
      <c r="F118" s="9"/>
      <c r="G118" s="9"/>
      <c r="H118" s="9"/>
      <c r="I118" s="9"/>
      <c r="J118" s="9"/>
      <c r="K118" s="9"/>
      <c r="L118" s="64"/>
      <c r="M118" s="9"/>
      <c r="N118" s="6"/>
    </row>
    <row r="119" spans="1:14" ht="15.75">
      <c r="A119" s="28"/>
      <c r="B119" s="29" t="s">
        <v>78</v>
      </c>
      <c r="C119" s="143"/>
      <c r="D119" s="143"/>
      <c r="E119" s="143"/>
      <c r="F119" s="143"/>
      <c r="G119" s="29"/>
      <c r="H119" s="29"/>
      <c r="I119" s="29"/>
      <c r="J119" s="29"/>
      <c r="K119" s="29"/>
      <c r="L119" s="67">
        <f>L67</f>
        <v>223520</v>
      </c>
      <c r="M119" s="29"/>
      <c r="N119" s="6"/>
    </row>
    <row r="120" spans="1:14" ht="15.75">
      <c r="A120" s="28"/>
      <c r="B120" s="29" t="s">
        <v>79</v>
      </c>
      <c r="C120" s="86"/>
      <c r="D120" s="29"/>
      <c r="E120" s="29"/>
      <c r="F120" s="29"/>
      <c r="G120" s="29"/>
      <c r="H120" s="29"/>
      <c r="I120" s="29"/>
      <c r="J120" s="29"/>
      <c r="K120" s="29"/>
      <c r="L120" s="67">
        <f>L70</f>
        <v>55907</v>
      </c>
      <c r="M120" s="29"/>
      <c r="N120" s="6"/>
    </row>
    <row r="121" spans="1:15" ht="15.75">
      <c r="A121" s="28"/>
      <c r="B121" s="29" t="s">
        <v>80</v>
      </c>
      <c r="C121" s="86"/>
      <c r="D121" s="29"/>
      <c r="E121" s="29"/>
      <c r="F121" s="29"/>
      <c r="G121" s="29"/>
      <c r="H121" s="29"/>
      <c r="I121" s="29"/>
      <c r="J121" s="29"/>
      <c r="K121" s="29"/>
      <c r="L121" s="67">
        <f>L120+L119+L72+L73</f>
        <v>279427</v>
      </c>
      <c r="M121" s="29"/>
      <c r="N121" s="6"/>
      <c r="O121" s="72"/>
    </row>
    <row r="122" spans="1:15" ht="15.75">
      <c r="A122" s="28"/>
      <c r="B122" s="29" t="s">
        <v>81</v>
      </c>
      <c r="C122" s="86"/>
      <c r="D122" s="29"/>
      <c r="E122" s="29"/>
      <c r="F122" s="29"/>
      <c r="G122" s="29"/>
      <c r="H122" s="29"/>
      <c r="I122" s="29"/>
      <c r="J122" s="29"/>
      <c r="K122" s="29"/>
      <c r="L122" s="67">
        <f>L74</f>
        <v>251000</v>
      </c>
      <c r="M122" s="29"/>
      <c r="N122" s="6"/>
      <c r="O122" s="72"/>
    </row>
    <row r="123" spans="1:14" ht="15.75">
      <c r="A123" s="28"/>
      <c r="B123" s="29"/>
      <c r="C123" s="29"/>
      <c r="D123" s="29"/>
      <c r="E123" s="29"/>
      <c r="F123" s="29"/>
      <c r="G123" s="29"/>
      <c r="H123" s="29"/>
      <c r="I123" s="29"/>
      <c r="J123" s="29"/>
      <c r="K123" s="29"/>
      <c r="L123" s="85"/>
      <c r="M123" s="29"/>
      <c r="N123" s="6"/>
    </row>
    <row r="124" spans="1:14" ht="15.75">
      <c r="A124" s="7"/>
      <c r="B124" s="165" t="s">
        <v>82</v>
      </c>
      <c r="C124" s="158"/>
      <c r="D124" s="158"/>
      <c r="E124" s="158"/>
      <c r="F124" s="158"/>
      <c r="G124" s="158"/>
      <c r="H124" s="159" t="s">
        <v>176</v>
      </c>
      <c r="I124" s="166"/>
      <c r="J124" s="159" t="s">
        <v>179</v>
      </c>
      <c r="K124" s="158"/>
      <c r="L124" s="167" t="s">
        <v>131</v>
      </c>
      <c r="M124" s="177"/>
      <c r="N124" s="6"/>
    </row>
    <row r="125" spans="1:14" ht="15.75">
      <c r="A125" s="28"/>
      <c r="B125" s="29" t="s">
        <v>83</v>
      </c>
      <c r="C125" s="29"/>
      <c r="D125" s="29"/>
      <c r="E125" s="29"/>
      <c r="F125" s="29"/>
      <c r="G125" s="29"/>
      <c r="H125" s="67">
        <v>0</v>
      </c>
      <c r="I125" s="29"/>
      <c r="J125" s="89" t="s">
        <v>180</v>
      </c>
      <c r="K125" s="29"/>
      <c r="L125" s="67">
        <f>H125</f>
        <v>0</v>
      </c>
      <c r="M125" s="29"/>
      <c r="N125" s="6"/>
    </row>
    <row r="126" spans="1:14" ht="15.75">
      <c r="A126" s="28"/>
      <c r="B126" s="29" t="s">
        <v>84</v>
      </c>
      <c r="C126" s="29"/>
      <c r="D126" s="29"/>
      <c r="E126" s="29"/>
      <c r="F126" s="29"/>
      <c r="G126" s="29"/>
      <c r="H126" s="67">
        <f>+'Feb 04'!H128</f>
        <v>191</v>
      </c>
      <c r="I126" s="29"/>
      <c r="J126" s="89" t="s">
        <v>180</v>
      </c>
      <c r="K126" s="29"/>
      <c r="L126" s="67">
        <f>H126</f>
        <v>191</v>
      </c>
      <c r="M126" s="29"/>
      <c r="N126" s="6"/>
    </row>
    <row r="127" spans="1:14" ht="15.75">
      <c r="A127" s="28"/>
      <c r="B127" s="29" t="s">
        <v>85</v>
      </c>
      <c r="C127" s="29"/>
      <c r="D127" s="29"/>
      <c r="E127" s="29"/>
      <c r="F127" s="29"/>
      <c r="G127" s="29"/>
      <c r="H127" s="67">
        <v>211</v>
      </c>
      <c r="I127" s="29"/>
      <c r="J127" s="89" t="s">
        <v>180</v>
      </c>
      <c r="K127" s="29"/>
      <c r="L127" s="67">
        <f>H127</f>
        <v>211</v>
      </c>
      <c r="M127" s="29"/>
      <c r="N127" s="6"/>
    </row>
    <row r="128" spans="1:14" ht="15.75">
      <c r="A128" s="28"/>
      <c r="B128" s="29" t="s">
        <v>86</v>
      </c>
      <c r="C128" s="29"/>
      <c r="D128" s="29"/>
      <c r="E128" s="29"/>
      <c r="F128" s="29"/>
      <c r="G128" s="29"/>
      <c r="H128" s="67">
        <f>SUM(H126:H127)</f>
        <v>402</v>
      </c>
      <c r="I128" s="29"/>
      <c r="J128" s="89" t="s">
        <v>180</v>
      </c>
      <c r="K128" s="29"/>
      <c r="L128" s="67">
        <f>H128</f>
        <v>402</v>
      </c>
      <c r="M128" s="29"/>
      <c r="N128" s="6"/>
    </row>
    <row r="129" spans="1:14" ht="15.75">
      <c r="A129" s="28"/>
      <c r="B129" s="29" t="s">
        <v>87</v>
      </c>
      <c r="C129" s="29"/>
      <c r="D129" s="29"/>
      <c r="E129" s="29"/>
      <c r="F129" s="29"/>
      <c r="G129" s="29"/>
      <c r="H129" s="67">
        <v>0</v>
      </c>
      <c r="I129" s="29"/>
      <c r="J129" s="89" t="s">
        <v>180</v>
      </c>
      <c r="K129" s="29"/>
      <c r="L129" s="67">
        <f>H129</f>
        <v>0</v>
      </c>
      <c r="M129" s="29"/>
      <c r="N129" s="6"/>
    </row>
    <row r="130" spans="1:14" ht="15.75">
      <c r="A130" s="28"/>
      <c r="B130" s="29"/>
      <c r="C130" s="29"/>
      <c r="D130" s="29"/>
      <c r="E130" s="29"/>
      <c r="F130" s="29"/>
      <c r="G130" s="29"/>
      <c r="H130" s="29"/>
      <c r="I130" s="29"/>
      <c r="J130" s="29"/>
      <c r="K130" s="29"/>
      <c r="L130" s="29"/>
      <c r="M130" s="29"/>
      <c r="N130" s="6"/>
    </row>
    <row r="131" spans="1:14" ht="15.75">
      <c r="A131" s="28"/>
      <c r="B131" s="32"/>
      <c r="C131" s="32"/>
      <c r="D131" s="32"/>
      <c r="E131" s="32"/>
      <c r="F131" s="32"/>
      <c r="G131" s="32"/>
      <c r="H131" s="32"/>
      <c r="I131" s="32"/>
      <c r="J131" s="32"/>
      <c r="K131" s="32"/>
      <c r="L131" s="32"/>
      <c r="M131" s="32"/>
      <c r="N131" s="6"/>
    </row>
    <row r="132" spans="1:14" ht="15.75">
      <c r="A132" s="90"/>
      <c r="B132" s="63" t="s">
        <v>88</v>
      </c>
      <c r="C132" s="91"/>
      <c r="D132" s="91"/>
      <c r="E132" s="91"/>
      <c r="F132" s="91"/>
      <c r="G132" s="21"/>
      <c r="H132" s="21"/>
      <c r="I132" s="21"/>
      <c r="J132" s="21">
        <v>38135</v>
      </c>
      <c r="K132" s="17"/>
      <c r="L132" s="17"/>
      <c r="M132" s="9"/>
      <c r="N132" s="6"/>
    </row>
    <row r="133" spans="1:14" ht="15.75">
      <c r="A133" s="92"/>
      <c r="B133" s="93" t="s">
        <v>89</v>
      </c>
      <c r="C133" s="94"/>
      <c r="D133" s="94"/>
      <c r="E133" s="94"/>
      <c r="F133" s="94"/>
      <c r="G133" s="95"/>
      <c r="H133" s="95"/>
      <c r="I133" s="95"/>
      <c r="J133" s="96">
        <v>0.1226</v>
      </c>
      <c r="K133" s="29"/>
      <c r="L133" s="29"/>
      <c r="M133" s="29"/>
      <c r="N133" s="6"/>
    </row>
    <row r="134" spans="1:14" ht="15.75">
      <c r="A134" s="92"/>
      <c r="B134" s="93" t="s">
        <v>90</v>
      </c>
      <c r="C134" s="94"/>
      <c r="D134" s="94"/>
      <c r="E134" s="94"/>
      <c r="F134" s="94"/>
      <c r="G134" s="95"/>
      <c r="H134" s="95"/>
      <c r="I134" s="95"/>
      <c r="J134" s="96">
        <v>0.0582</v>
      </c>
      <c r="K134" s="96"/>
      <c r="L134" s="29"/>
      <c r="M134" s="29"/>
      <c r="N134" s="6"/>
    </row>
    <row r="135" spans="1:14" ht="15.75">
      <c r="A135" s="92"/>
      <c r="B135" s="93" t="s">
        <v>91</v>
      </c>
      <c r="C135" s="94"/>
      <c r="D135" s="94"/>
      <c r="E135" s="94"/>
      <c r="F135" s="94"/>
      <c r="G135" s="95"/>
      <c r="H135" s="95"/>
      <c r="I135" s="95"/>
      <c r="J135" s="96">
        <f>J133-J134</f>
        <v>0.0644</v>
      </c>
      <c r="K135" s="29"/>
      <c r="L135" s="29"/>
      <c r="M135" s="29"/>
      <c r="N135" s="6"/>
    </row>
    <row r="136" spans="1:14" ht="15.75">
      <c r="A136" s="92"/>
      <c r="B136" s="93" t="s">
        <v>92</v>
      </c>
      <c r="C136" s="94"/>
      <c r="D136" s="94"/>
      <c r="E136" s="94"/>
      <c r="F136" s="94"/>
      <c r="G136" s="95"/>
      <c r="H136" s="95"/>
      <c r="I136" s="95"/>
      <c r="J136" s="96">
        <v>0.1108</v>
      </c>
      <c r="K136" s="29"/>
      <c r="L136" s="29"/>
      <c r="M136" s="29"/>
      <c r="N136" s="6"/>
    </row>
    <row r="137" spans="1:14" ht="15.75">
      <c r="A137" s="92"/>
      <c r="B137" s="93" t="s">
        <v>93</v>
      </c>
      <c r="C137" s="94"/>
      <c r="D137" s="94"/>
      <c r="E137" s="94"/>
      <c r="F137" s="94"/>
      <c r="G137" s="95"/>
      <c r="H137" s="95"/>
      <c r="I137" s="95"/>
      <c r="J137" s="96">
        <f>L32</f>
        <v>0.04842677888446215</v>
      </c>
      <c r="K137" s="29"/>
      <c r="L137" s="29"/>
      <c r="M137" s="29"/>
      <c r="N137" s="6"/>
    </row>
    <row r="138" spans="1:14" ht="15.75">
      <c r="A138" s="92"/>
      <c r="B138" s="93" t="s">
        <v>94</v>
      </c>
      <c r="C138" s="94"/>
      <c r="D138" s="94"/>
      <c r="E138" s="94"/>
      <c r="F138" s="94"/>
      <c r="G138" s="95"/>
      <c r="H138" s="95"/>
      <c r="I138" s="95"/>
      <c r="J138" s="96">
        <f>J136-J137</f>
        <v>0.06237322111553784</v>
      </c>
      <c r="K138" s="29"/>
      <c r="L138" s="29"/>
      <c r="M138" s="29"/>
      <c r="N138" s="6"/>
    </row>
    <row r="139" spans="1:14" ht="15.75">
      <c r="A139" s="92"/>
      <c r="B139" s="93" t="s">
        <v>95</v>
      </c>
      <c r="C139" s="94"/>
      <c r="D139" s="94"/>
      <c r="E139" s="94"/>
      <c r="F139" s="94"/>
      <c r="G139" s="95"/>
      <c r="H139" s="95"/>
      <c r="I139" s="95"/>
      <c r="J139" s="96" t="s">
        <v>181</v>
      </c>
      <c r="K139" s="29"/>
      <c r="L139" s="29"/>
      <c r="M139" s="29"/>
      <c r="N139" s="6"/>
    </row>
    <row r="140" spans="1:14" ht="15.75">
      <c r="A140" s="92"/>
      <c r="B140" s="93" t="s">
        <v>96</v>
      </c>
      <c r="C140" s="94"/>
      <c r="D140" s="94"/>
      <c r="E140" s="94"/>
      <c r="F140" s="94"/>
      <c r="G140" s="95"/>
      <c r="H140" s="95"/>
      <c r="I140" s="95"/>
      <c r="J140" s="96" t="s">
        <v>182</v>
      </c>
      <c r="K140" s="29"/>
      <c r="L140" s="29"/>
      <c r="M140" s="29"/>
      <c r="N140" s="6"/>
    </row>
    <row r="141" spans="1:14" ht="15.75">
      <c r="A141" s="92"/>
      <c r="B141" s="93" t="s">
        <v>97</v>
      </c>
      <c r="C141" s="94"/>
      <c r="D141" s="94"/>
      <c r="E141" s="94"/>
      <c r="F141" s="94"/>
      <c r="G141" s="95"/>
      <c r="H141" s="95"/>
      <c r="I141" s="95"/>
      <c r="J141" s="96" t="s">
        <v>183</v>
      </c>
      <c r="K141" s="29"/>
      <c r="L141" s="29"/>
      <c r="M141" s="29"/>
      <c r="N141" s="6"/>
    </row>
    <row r="142" spans="1:14" ht="15.75">
      <c r="A142" s="92"/>
      <c r="B142" s="93" t="s">
        <v>98</v>
      </c>
      <c r="C142" s="94"/>
      <c r="D142" s="94"/>
      <c r="E142" s="94"/>
      <c r="F142" s="94"/>
      <c r="G142" s="95"/>
      <c r="H142" s="95"/>
      <c r="I142" s="95"/>
      <c r="J142" s="97">
        <v>4.08</v>
      </c>
      <c r="K142" s="29"/>
      <c r="L142" s="29"/>
      <c r="M142" s="29"/>
      <c r="N142" s="6"/>
    </row>
    <row r="143" spans="1:14" ht="15.75">
      <c r="A143" s="92"/>
      <c r="B143" s="93" t="s">
        <v>99</v>
      </c>
      <c r="C143" s="94"/>
      <c r="D143" s="94"/>
      <c r="E143" s="94"/>
      <c r="F143" s="94"/>
      <c r="G143" s="95"/>
      <c r="H143" s="95"/>
      <c r="I143" s="95"/>
      <c r="J143" s="97">
        <v>8.16</v>
      </c>
      <c r="K143" s="29"/>
      <c r="L143" s="29"/>
      <c r="M143" s="29"/>
      <c r="N143" s="6"/>
    </row>
    <row r="144" spans="1:14" ht="15.75">
      <c r="A144" s="92"/>
      <c r="B144" s="93" t="s">
        <v>100</v>
      </c>
      <c r="C144" s="94"/>
      <c r="D144" s="94"/>
      <c r="E144" s="94"/>
      <c r="F144" s="94"/>
      <c r="G144" s="95"/>
      <c r="H144" s="95"/>
      <c r="I144" s="95"/>
      <c r="J144" s="96">
        <v>0.1418</v>
      </c>
      <c r="K144" s="29"/>
      <c r="L144" s="29"/>
      <c r="M144" s="29"/>
      <c r="N144" s="6"/>
    </row>
    <row r="145" spans="1:14" ht="15.75">
      <c r="A145" s="92"/>
      <c r="B145" s="93" t="s">
        <v>101</v>
      </c>
      <c r="C145" s="94"/>
      <c r="D145" s="94"/>
      <c r="E145" s="94"/>
      <c r="F145" s="94"/>
      <c r="G145" s="95"/>
      <c r="H145" s="95"/>
      <c r="I145" s="95"/>
      <c r="J145" s="96">
        <v>0.4613</v>
      </c>
      <c r="K145" s="29"/>
      <c r="L145" s="29"/>
      <c r="M145" s="29"/>
      <c r="N145" s="6"/>
    </row>
    <row r="146" spans="1:14" ht="15.75">
      <c r="A146" s="92"/>
      <c r="B146" s="93"/>
      <c r="C146" s="93"/>
      <c r="D146" s="93"/>
      <c r="E146" s="93"/>
      <c r="F146" s="93"/>
      <c r="G146" s="29"/>
      <c r="H146" s="29"/>
      <c r="I146" s="36"/>
      <c r="J146" s="98"/>
      <c r="K146" s="29"/>
      <c r="L146" s="99"/>
      <c r="M146" s="29"/>
      <c r="N146" s="6"/>
    </row>
    <row r="147" spans="1:14" ht="15.75">
      <c r="A147" s="90"/>
      <c r="B147" s="100"/>
      <c r="C147" s="100"/>
      <c r="D147" s="100"/>
      <c r="E147" s="100"/>
      <c r="F147" s="100"/>
      <c r="G147" s="9"/>
      <c r="H147" s="9"/>
      <c r="I147" s="22"/>
      <c r="J147" s="101"/>
      <c r="K147" s="9"/>
      <c r="L147" s="102"/>
      <c r="M147" s="9"/>
      <c r="N147" s="6"/>
    </row>
    <row r="148" spans="1:14" ht="16.5" thickBot="1">
      <c r="A148" s="150"/>
      <c r="B148" s="145" t="str">
        <f>B97</f>
        <v>PPAF1 INVESTOR REPORT QUARTER ENDING MAY 2004</v>
      </c>
      <c r="C148" s="151"/>
      <c r="D148" s="151"/>
      <c r="E148" s="151"/>
      <c r="F148" s="151"/>
      <c r="G148" s="146"/>
      <c r="H148" s="146"/>
      <c r="I148" s="152"/>
      <c r="J148" s="153"/>
      <c r="K148" s="146"/>
      <c r="L148" s="154"/>
      <c r="M148" s="148"/>
      <c r="N148" s="6"/>
    </row>
    <row r="149" spans="1:14" ht="15.75">
      <c r="A149" s="103"/>
      <c r="B149" s="104" t="s">
        <v>102</v>
      </c>
      <c r="C149" s="105"/>
      <c r="D149" s="106"/>
      <c r="E149" s="105"/>
      <c r="F149" s="106"/>
      <c r="G149" s="105"/>
      <c r="H149" s="106"/>
      <c r="I149" s="105" t="s">
        <v>141</v>
      </c>
      <c r="J149" s="106" t="s">
        <v>184</v>
      </c>
      <c r="K149" s="107"/>
      <c r="L149" s="107"/>
      <c r="M149" s="5"/>
      <c r="N149" s="6"/>
    </row>
    <row r="150" spans="1:14" ht="15.75">
      <c r="A150" s="108"/>
      <c r="B150" s="93" t="s">
        <v>103</v>
      </c>
      <c r="C150" s="68"/>
      <c r="D150" s="68"/>
      <c r="E150" s="68"/>
      <c r="F150" s="29"/>
      <c r="G150" s="29"/>
      <c r="H150" s="29"/>
      <c r="I150" s="29">
        <v>930</v>
      </c>
      <c r="J150" s="67">
        <v>5763</v>
      </c>
      <c r="K150" s="67"/>
      <c r="L150" s="99"/>
      <c r="M150" s="109"/>
      <c r="N150" s="6"/>
    </row>
    <row r="151" spans="1:14" ht="15.75">
      <c r="A151" s="108"/>
      <c r="B151" s="93" t="s">
        <v>104</v>
      </c>
      <c r="C151" s="68"/>
      <c r="D151" s="68"/>
      <c r="E151" s="68"/>
      <c r="F151" s="29"/>
      <c r="G151" s="29"/>
      <c r="H151" s="29"/>
      <c r="I151" s="29">
        <v>1</v>
      </c>
      <c r="J151" s="67">
        <v>8</v>
      </c>
      <c r="K151" s="67"/>
      <c r="L151" s="99"/>
      <c r="M151" s="109"/>
      <c r="N151" s="6"/>
    </row>
    <row r="152" spans="1:14" ht="15.75">
      <c r="A152" s="108"/>
      <c r="B152" s="168" t="s">
        <v>105</v>
      </c>
      <c r="C152" s="68"/>
      <c r="D152" s="68"/>
      <c r="E152" s="68"/>
      <c r="F152" s="29"/>
      <c r="G152" s="29"/>
      <c r="H152" s="29"/>
      <c r="I152" s="29"/>
      <c r="J152" s="110">
        <v>0</v>
      </c>
      <c r="K152" s="29"/>
      <c r="L152" s="99"/>
      <c r="M152" s="109"/>
      <c r="N152" s="6"/>
    </row>
    <row r="153" spans="1:14" ht="15.75">
      <c r="A153" s="108"/>
      <c r="B153" s="168" t="s">
        <v>106</v>
      </c>
      <c r="C153" s="68"/>
      <c r="D153" s="68"/>
      <c r="E153" s="68"/>
      <c r="F153" s="29"/>
      <c r="G153" s="29"/>
      <c r="H153" s="29"/>
      <c r="I153" s="29"/>
      <c r="J153" s="67">
        <f>H67</f>
        <v>28660</v>
      </c>
      <c r="K153" s="29"/>
      <c r="L153" s="99"/>
      <c r="M153" s="109"/>
      <c r="N153" s="6"/>
    </row>
    <row r="154" spans="1:14" ht="15.75">
      <c r="A154" s="111"/>
      <c r="B154" s="168" t="s">
        <v>107</v>
      </c>
      <c r="C154" s="68"/>
      <c r="D154" s="93"/>
      <c r="E154" s="93"/>
      <c r="F154" s="93"/>
      <c r="G154" s="29"/>
      <c r="H154" s="29"/>
      <c r="I154" s="29"/>
      <c r="J154" s="112"/>
      <c r="K154" s="29"/>
      <c r="L154" s="99"/>
      <c r="M154" s="113"/>
      <c r="N154" s="6"/>
    </row>
    <row r="155" spans="1:14" ht="15.75">
      <c r="A155" s="108"/>
      <c r="B155" s="93" t="s">
        <v>108</v>
      </c>
      <c r="C155" s="68"/>
      <c r="D155" s="68"/>
      <c r="E155" s="68"/>
      <c r="F155" s="68"/>
      <c r="G155" s="29"/>
      <c r="H155" s="29"/>
      <c r="I155" s="29"/>
      <c r="J155" s="67">
        <f>L116</f>
        <v>1161</v>
      </c>
      <c r="K155" s="29"/>
      <c r="L155" s="99"/>
      <c r="M155" s="113"/>
      <c r="N155" s="6"/>
    </row>
    <row r="156" spans="1:14" ht="15.75">
      <c r="A156" s="108"/>
      <c r="B156" s="93" t="s">
        <v>109</v>
      </c>
      <c r="C156" s="68"/>
      <c r="D156" s="68"/>
      <c r="E156" s="68"/>
      <c r="F156" s="68"/>
      <c r="G156" s="29"/>
      <c r="H156" s="29"/>
      <c r="I156" s="29"/>
      <c r="J156" s="67">
        <f>L116+'Feb 04'!J156</f>
        <v>21162</v>
      </c>
      <c r="K156" s="29"/>
      <c r="L156" s="99"/>
      <c r="M156" s="113"/>
      <c r="N156" s="6"/>
    </row>
    <row r="157" spans="1:14" ht="15.75">
      <c r="A157" s="108"/>
      <c r="B157" s="93" t="s">
        <v>110</v>
      </c>
      <c r="C157" s="68"/>
      <c r="D157" s="68"/>
      <c r="E157" s="68"/>
      <c r="F157" s="68"/>
      <c r="G157" s="29"/>
      <c r="H157" s="29"/>
      <c r="I157" s="29"/>
      <c r="J157" s="67"/>
      <c r="K157" s="29"/>
      <c r="L157" s="99"/>
      <c r="M157" s="113"/>
      <c r="N157" s="6"/>
    </row>
    <row r="158" spans="1:14" ht="15.75">
      <c r="A158" s="108"/>
      <c r="B158" s="93"/>
      <c r="C158" s="68"/>
      <c r="D158" s="68"/>
      <c r="E158" s="68"/>
      <c r="F158" s="68"/>
      <c r="G158" s="29"/>
      <c r="H158" s="29"/>
      <c r="I158" s="29"/>
      <c r="J158" s="67"/>
      <c r="K158" s="29"/>
      <c r="L158" s="99"/>
      <c r="M158" s="113"/>
      <c r="N158" s="6"/>
    </row>
    <row r="159" spans="1:14" ht="15.75">
      <c r="A159" s="111"/>
      <c r="B159" s="168" t="s">
        <v>111</v>
      </c>
      <c r="C159" s="68"/>
      <c r="D159" s="93"/>
      <c r="E159" s="93"/>
      <c r="F159" s="93"/>
      <c r="G159" s="29"/>
      <c r="H159" s="29"/>
      <c r="I159" s="29"/>
      <c r="J159" s="89"/>
      <c r="K159" s="29"/>
      <c r="L159" s="99"/>
      <c r="M159" s="113"/>
      <c r="N159" s="6"/>
    </row>
    <row r="160" spans="1:14" ht="15.75">
      <c r="A160" s="111"/>
      <c r="B160" s="93" t="s">
        <v>112</v>
      </c>
      <c r="C160" s="68"/>
      <c r="D160" s="93"/>
      <c r="E160" s="93"/>
      <c r="F160" s="93"/>
      <c r="G160" s="29"/>
      <c r="H160" s="29"/>
      <c r="I160" s="29"/>
      <c r="J160" s="89">
        <v>0</v>
      </c>
      <c r="K160" s="29"/>
      <c r="L160" s="99"/>
      <c r="M160" s="113"/>
      <c r="N160" s="6"/>
    </row>
    <row r="161" spans="1:14" ht="15.75">
      <c r="A161" s="108"/>
      <c r="B161" s="93" t="s">
        <v>113</v>
      </c>
      <c r="C161" s="68"/>
      <c r="D161" s="114"/>
      <c r="E161" s="114"/>
      <c r="F161" s="115"/>
      <c r="G161" s="29"/>
      <c r="H161" s="29"/>
      <c r="I161" s="29"/>
      <c r="J161" s="89">
        <v>0</v>
      </c>
      <c r="K161" s="29"/>
      <c r="L161" s="99"/>
      <c r="M161" s="113"/>
      <c r="N161" s="6"/>
    </row>
    <row r="162" spans="1:14" ht="15.75">
      <c r="A162" s="108"/>
      <c r="B162" s="93" t="s">
        <v>114</v>
      </c>
      <c r="C162" s="68"/>
      <c r="D162" s="114"/>
      <c r="E162" s="114"/>
      <c r="F162" s="115"/>
      <c r="G162" s="29"/>
      <c r="H162" s="29"/>
      <c r="I162" s="29"/>
      <c r="J162" s="89">
        <v>0</v>
      </c>
      <c r="K162" s="29"/>
      <c r="L162" s="99"/>
      <c r="M162" s="113"/>
      <c r="N162" s="6"/>
    </row>
    <row r="163" spans="1:14" ht="15.75">
      <c r="A163" s="108"/>
      <c r="B163" s="93" t="s">
        <v>115</v>
      </c>
      <c r="C163" s="68"/>
      <c r="D163" s="116"/>
      <c r="E163" s="114"/>
      <c r="F163" s="115"/>
      <c r="G163" s="29"/>
      <c r="H163" s="29"/>
      <c r="I163" s="29"/>
      <c r="J163" s="89">
        <v>0</v>
      </c>
      <c r="K163" s="29"/>
      <c r="L163" s="99"/>
      <c r="M163" s="113"/>
      <c r="N163" s="6"/>
    </row>
    <row r="164" spans="1:14" ht="15.75">
      <c r="A164" s="108"/>
      <c r="B164" s="93"/>
      <c r="C164" s="68"/>
      <c r="D164" s="116"/>
      <c r="E164" s="114"/>
      <c r="F164" s="115"/>
      <c r="G164" s="29"/>
      <c r="H164" s="29"/>
      <c r="I164" s="29"/>
      <c r="J164" s="89"/>
      <c r="K164" s="29"/>
      <c r="L164" s="99"/>
      <c r="M164" s="113"/>
      <c r="N164" s="6"/>
    </row>
    <row r="165" spans="1:14" ht="15.75">
      <c r="A165" s="108"/>
      <c r="B165" s="168" t="s">
        <v>116</v>
      </c>
      <c r="C165" s="68"/>
      <c r="D165" s="68"/>
      <c r="E165" s="116"/>
      <c r="F165" s="114"/>
      <c r="G165" s="115"/>
      <c r="H165" s="29"/>
      <c r="I165" s="36"/>
      <c r="J165" s="36"/>
      <c r="K165" s="117"/>
      <c r="L165" s="36"/>
      <c r="M165" s="99"/>
      <c r="N165" s="6"/>
    </row>
    <row r="166" spans="1:14" ht="15.75">
      <c r="A166" s="108"/>
      <c r="B166" s="93" t="s">
        <v>117</v>
      </c>
      <c r="C166" s="68"/>
      <c r="D166" s="68"/>
      <c r="E166" s="116"/>
      <c r="F166" s="114"/>
      <c r="G166" s="115"/>
      <c r="H166" s="29"/>
      <c r="I166" s="36"/>
      <c r="J166" s="118">
        <v>141</v>
      </c>
      <c r="K166" s="118"/>
      <c r="L166" s="36"/>
      <c r="M166" s="99"/>
      <c r="N166" s="6"/>
    </row>
    <row r="167" spans="1:14" ht="15.75">
      <c r="A167" s="108"/>
      <c r="B167" s="93" t="s">
        <v>113</v>
      </c>
      <c r="C167" s="68"/>
      <c r="D167" s="68"/>
      <c r="E167" s="116"/>
      <c r="F167" s="114"/>
      <c r="G167" s="115"/>
      <c r="H167" s="29"/>
      <c r="I167" s="36"/>
      <c r="J167" s="118">
        <v>1.15</v>
      </c>
      <c r="K167" s="118"/>
      <c r="L167" s="36"/>
      <c r="M167" s="99"/>
      <c r="N167" s="6"/>
    </row>
    <row r="168" spans="1:14" ht="15.75">
      <c r="A168" s="108"/>
      <c r="B168" s="93" t="s">
        <v>118</v>
      </c>
      <c r="C168" s="68"/>
      <c r="D168" s="68"/>
      <c r="E168" s="116"/>
      <c r="F168" s="114"/>
      <c r="G168" s="115"/>
      <c r="H168" s="29"/>
      <c r="I168" s="36"/>
      <c r="J168" s="118">
        <v>35</v>
      </c>
      <c r="K168" s="118"/>
      <c r="L168" s="36"/>
      <c r="M168" s="99"/>
      <c r="N168" s="6"/>
    </row>
    <row r="169" spans="1:14" ht="15.75">
      <c r="A169" s="108"/>
      <c r="B169" s="93"/>
      <c r="C169" s="68"/>
      <c r="D169" s="116"/>
      <c r="E169" s="114"/>
      <c r="F169" s="115"/>
      <c r="G169" s="29"/>
      <c r="H169" s="29"/>
      <c r="I169" s="29"/>
      <c r="J169" s="89"/>
      <c r="K169" s="29"/>
      <c r="L169" s="99"/>
      <c r="M169" s="113"/>
      <c r="N169" s="6"/>
    </row>
    <row r="170" spans="1:14" ht="15.75">
      <c r="A170" s="28"/>
      <c r="B170" s="119" t="s">
        <v>119</v>
      </c>
      <c r="C170" s="120"/>
      <c r="D170" s="121"/>
      <c r="E170" s="120"/>
      <c r="F170" s="121"/>
      <c r="G170" s="120"/>
      <c r="H170" s="121"/>
      <c r="I170" s="120"/>
      <c r="J170" s="121"/>
      <c r="K170" s="120"/>
      <c r="L170" s="122"/>
      <c r="M170" s="113"/>
      <c r="N170" s="6"/>
    </row>
    <row r="171" spans="1:14" ht="15.75">
      <c r="A171" s="28"/>
      <c r="B171" s="33"/>
      <c r="C171" s="156"/>
      <c r="D171" s="119" t="s">
        <v>151</v>
      </c>
      <c r="E171" s="120"/>
      <c r="F171" s="121"/>
      <c r="G171" s="120"/>
      <c r="H171" s="119" t="s">
        <v>39</v>
      </c>
      <c r="I171" s="120"/>
      <c r="J171" s="121"/>
      <c r="K171" s="120"/>
      <c r="L171" s="122"/>
      <c r="M171" s="113"/>
      <c r="N171" s="6"/>
    </row>
    <row r="172" spans="1:14" ht="15.75">
      <c r="A172" s="28"/>
      <c r="B172" s="156"/>
      <c r="C172" s="121" t="s">
        <v>141</v>
      </c>
      <c r="D172" s="120" t="s">
        <v>152</v>
      </c>
      <c r="E172" s="121" t="s">
        <v>157</v>
      </c>
      <c r="F172" s="120" t="s">
        <v>152</v>
      </c>
      <c r="G172" s="120"/>
      <c r="H172" s="121" t="s">
        <v>141</v>
      </c>
      <c r="I172" s="120" t="s">
        <v>152</v>
      </c>
      <c r="J172" s="121" t="s">
        <v>157</v>
      </c>
      <c r="K172" s="120" t="s">
        <v>152</v>
      </c>
      <c r="L172" s="122"/>
      <c r="M172" s="113"/>
      <c r="N172" s="6"/>
    </row>
    <row r="173" spans="1:14" ht="15.75">
      <c r="A173" s="28"/>
      <c r="B173" s="68" t="s">
        <v>120</v>
      </c>
      <c r="C173" s="123">
        <v>4779</v>
      </c>
      <c r="D173" s="96">
        <f>C173/C177</f>
        <v>0.8286804230969308</v>
      </c>
      <c r="E173" s="123">
        <v>25845</v>
      </c>
      <c r="F173" s="96">
        <f>E173/E177</f>
        <v>0.8163555387093717</v>
      </c>
      <c r="G173" s="120"/>
      <c r="H173" s="123">
        <v>18985</v>
      </c>
      <c r="I173" s="96">
        <f>H173/H177</f>
        <v>0.900146982125077</v>
      </c>
      <c r="J173" s="123">
        <v>13467</v>
      </c>
      <c r="K173" s="96">
        <f>J173/J177</f>
        <v>0.8939856611789697</v>
      </c>
      <c r="L173" s="122"/>
      <c r="M173" s="113"/>
      <c r="N173" s="6"/>
    </row>
    <row r="174" spans="1:14" ht="15.75">
      <c r="A174" s="28"/>
      <c r="B174" s="68" t="s">
        <v>121</v>
      </c>
      <c r="C174" s="123">
        <v>130</v>
      </c>
      <c r="D174" s="96">
        <f>C174/$C$177</f>
        <v>0.022542049592509102</v>
      </c>
      <c r="E174" s="123">
        <v>765</v>
      </c>
      <c r="F174" s="96">
        <f>E174/$E$177</f>
        <v>0.02416374490666161</v>
      </c>
      <c r="G174" s="120"/>
      <c r="H174" s="123">
        <v>244</v>
      </c>
      <c r="I174" s="96">
        <f>H174/$H$177</f>
        <v>0.011568915651225642</v>
      </c>
      <c r="J174" s="123">
        <v>148</v>
      </c>
      <c r="K174" s="96">
        <f>J174/$J$177</f>
        <v>0.009824747742963356</v>
      </c>
      <c r="L174" s="122"/>
      <c r="M174" s="113"/>
      <c r="N174" s="6"/>
    </row>
    <row r="175" spans="1:14" ht="15.75">
      <c r="A175" s="28"/>
      <c r="B175" s="68" t="s">
        <v>122</v>
      </c>
      <c r="C175" s="123">
        <v>88</v>
      </c>
      <c r="D175" s="96">
        <f>C175/$C$177</f>
        <v>0.015259233570313854</v>
      </c>
      <c r="E175" s="123">
        <v>531</v>
      </c>
      <c r="F175" s="96">
        <f>E175/$E$177</f>
        <v>0.01677248175874159</v>
      </c>
      <c r="G175" s="120"/>
      <c r="H175" s="123">
        <v>233</v>
      </c>
      <c r="I175" s="96">
        <f>H175/$H$177</f>
        <v>0.011047366175145797</v>
      </c>
      <c r="J175" s="123">
        <v>142</v>
      </c>
      <c r="K175" s="96">
        <f>J175/$J$177</f>
        <v>0.009426447158789167</v>
      </c>
      <c r="L175" s="122"/>
      <c r="M175" s="113"/>
      <c r="N175" s="6"/>
    </row>
    <row r="176" spans="1:16" ht="15.75">
      <c r="A176" s="28"/>
      <c r="B176" s="68" t="s">
        <v>123</v>
      </c>
      <c r="C176" s="123">
        <v>770</v>
      </c>
      <c r="D176" s="96">
        <f>C176/$C$177</f>
        <v>0.13351829374024624</v>
      </c>
      <c r="E176" s="123">
        <v>4518</v>
      </c>
      <c r="F176" s="96">
        <f>E176/$E$177</f>
        <v>0.14270823462522506</v>
      </c>
      <c r="G176" s="120"/>
      <c r="H176" s="123">
        <v>1629</v>
      </c>
      <c r="I176" s="96">
        <f>H176/$H$177</f>
        <v>0.07723673604855151</v>
      </c>
      <c r="J176" s="123">
        <v>1307</v>
      </c>
      <c r="K176" s="96">
        <f>J176/$J$177</f>
        <v>0.08676314391927775</v>
      </c>
      <c r="L176" s="122"/>
      <c r="M176" s="113"/>
      <c r="N176" s="6"/>
      <c r="P176" s="72"/>
    </row>
    <row r="177" spans="1:16" ht="15.75">
      <c r="A177" s="28"/>
      <c r="B177" s="68" t="s">
        <v>124</v>
      </c>
      <c r="C177" s="123">
        <f>SUM(C173:C176)</f>
        <v>5767</v>
      </c>
      <c r="D177" s="96">
        <f>SUM(D173:D176)</f>
        <v>1</v>
      </c>
      <c r="E177" s="123">
        <f>SUM(E173:E176)</f>
        <v>31659</v>
      </c>
      <c r="F177" s="96">
        <f>SUM(F173:F176)</f>
        <v>1</v>
      </c>
      <c r="G177" s="120"/>
      <c r="H177" s="123">
        <f>SUM(H173:H176)</f>
        <v>21091</v>
      </c>
      <c r="I177" s="96">
        <f>SUM(I173:I176)</f>
        <v>1</v>
      </c>
      <c r="J177" s="123">
        <f>SUM(J173:J176)</f>
        <v>15064</v>
      </c>
      <c r="K177" s="96">
        <f>SUM(K173:K176)</f>
        <v>1</v>
      </c>
      <c r="L177" s="122"/>
      <c r="M177" s="113"/>
      <c r="N177" s="6"/>
      <c r="P177" s="72"/>
    </row>
    <row r="178" spans="1:15" ht="15.75">
      <c r="A178" s="28"/>
      <c r="B178" s="68" t="s">
        <v>125</v>
      </c>
      <c r="C178" s="123">
        <v>3352</v>
      </c>
      <c r="D178" s="124"/>
      <c r="E178" s="123">
        <v>22734</v>
      </c>
      <c r="F178" s="124"/>
      <c r="G178" s="120"/>
      <c r="H178" s="123">
        <v>2699</v>
      </c>
      <c r="I178" s="124"/>
      <c r="J178" s="123">
        <v>3684</v>
      </c>
      <c r="K178" s="124"/>
      <c r="L178" s="122"/>
      <c r="M178" s="113"/>
      <c r="N178" s="6"/>
      <c r="O178" s="72"/>
    </row>
    <row r="179" spans="1:16" ht="15.75">
      <c r="A179" s="28"/>
      <c r="B179" s="68" t="s">
        <v>126</v>
      </c>
      <c r="C179" s="123">
        <f>SUM(C177:C178)</f>
        <v>9119</v>
      </c>
      <c r="D179" s="156"/>
      <c r="E179" s="123">
        <f>E178+E177</f>
        <v>54393</v>
      </c>
      <c r="F179" s="127"/>
      <c r="G179" s="156"/>
      <c r="H179" s="123">
        <f>SUM(H177:H178)</f>
        <v>23790</v>
      </c>
      <c r="I179" s="156"/>
      <c r="J179" s="123">
        <f>J178+J177</f>
        <v>18748</v>
      </c>
      <c r="K179" s="156"/>
      <c r="L179" s="156"/>
      <c r="M179" s="113"/>
      <c r="N179" s="6"/>
      <c r="P179" s="72"/>
    </row>
    <row r="180" spans="1:16" ht="15.75">
      <c r="A180" s="28"/>
      <c r="B180" s="68"/>
      <c r="C180" s="123"/>
      <c r="D180" s="127"/>
      <c r="E180" s="123"/>
      <c r="F180" s="127"/>
      <c r="G180" s="120"/>
      <c r="H180" s="123"/>
      <c r="I180" s="127"/>
      <c r="J180" s="123"/>
      <c r="K180" s="127"/>
      <c r="L180" s="122"/>
      <c r="M180" s="113"/>
      <c r="N180" s="6"/>
      <c r="P180" s="72"/>
    </row>
    <row r="181" spans="1:15" ht="15.75">
      <c r="A181" s="28"/>
      <c r="B181" s="68"/>
      <c r="C181" s="120"/>
      <c r="D181" s="119" t="s">
        <v>40</v>
      </c>
      <c r="E181" s="120"/>
      <c r="F181" s="121"/>
      <c r="G181" s="120"/>
      <c r="H181" s="119" t="s">
        <v>41</v>
      </c>
      <c r="I181" s="120"/>
      <c r="J181" s="121"/>
      <c r="K181" s="120"/>
      <c r="L181" s="122"/>
      <c r="M181" s="113"/>
      <c r="N181" s="6"/>
      <c r="O181" s="72"/>
    </row>
    <row r="182" spans="1:14" ht="15.75">
      <c r="A182" s="28"/>
      <c r="B182" s="156"/>
      <c r="C182" s="121" t="s">
        <v>141</v>
      </c>
      <c r="D182" s="120" t="s">
        <v>152</v>
      </c>
      <c r="E182" s="121" t="s">
        <v>157</v>
      </c>
      <c r="F182" s="120" t="s">
        <v>152</v>
      </c>
      <c r="G182" s="120"/>
      <c r="H182" s="121" t="s">
        <v>141</v>
      </c>
      <c r="I182" s="120" t="s">
        <v>152</v>
      </c>
      <c r="J182" s="121" t="s">
        <v>157</v>
      </c>
      <c r="K182" s="120" t="s">
        <v>152</v>
      </c>
      <c r="L182" s="122"/>
      <c r="M182" s="113"/>
      <c r="N182" s="6"/>
    </row>
    <row r="183" spans="1:15" ht="15.75">
      <c r="A183" s="28"/>
      <c r="B183" s="68" t="s">
        <v>120</v>
      </c>
      <c r="C183" s="123">
        <v>4569</v>
      </c>
      <c r="D183" s="96">
        <f>C183/C187</f>
        <v>0.9612876078266358</v>
      </c>
      <c r="E183" s="123">
        <v>94967</v>
      </c>
      <c r="F183" s="96">
        <f>E183/E187</f>
        <v>0.9603587933702105</v>
      </c>
      <c r="G183" s="120"/>
      <c r="H183" s="123">
        <v>9237</v>
      </c>
      <c r="I183" s="96">
        <f>H183/H187</f>
        <v>0.9843350383631714</v>
      </c>
      <c r="J183" s="123">
        <v>50312</v>
      </c>
      <c r="K183" s="96">
        <f>J183/J187</f>
        <v>0.9813146089330993</v>
      </c>
      <c r="L183" s="122"/>
      <c r="M183" s="113"/>
      <c r="N183" s="6"/>
      <c r="O183" s="72"/>
    </row>
    <row r="184" spans="1:14" ht="15.75">
      <c r="A184" s="28"/>
      <c r="B184" s="68" t="s">
        <v>121</v>
      </c>
      <c r="C184" s="123">
        <v>86</v>
      </c>
      <c r="D184" s="96">
        <f>C184/$C$187</f>
        <v>0.018093835472333262</v>
      </c>
      <c r="E184" s="123">
        <v>2044</v>
      </c>
      <c r="F184" s="96">
        <f>E184/$E$187</f>
        <v>0.020670057742675985</v>
      </c>
      <c r="G184" s="120"/>
      <c r="H184" s="123">
        <v>59</v>
      </c>
      <c r="I184" s="96">
        <f>H184/$H$187</f>
        <v>0.006287297527706735</v>
      </c>
      <c r="J184" s="123">
        <v>345</v>
      </c>
      <c r="K184" s="96">
        <f>J184/$J$187</f>
        <v>0.006729081334113517</v>
      </c>
      <c r="L184" s="122"/>
      <c r="M184" s="113"/>
      <c r="N184" s="6"/>
    </row>
    <row r="185" spans="1:14" ht="15.75">
      <c r="A185" s="28"/>
      <c r="B185" s="68" t="s">
        <v>122</v>
      </c>
      <c r="C185" s="123">
        <v>39</v>
      </c>
      <c r="D185" s="96">
        <f>C185/$C$187</f>
        <v>0.00820534399326741</v>
      </c>
      <c r="E185" s="123">
        <v>637</v>
      </c>
      <c r="F185" s="96">
        <f>E185/$E$187</f>
        <v>0.006441696077340803</v>
      </c>
      <c r="G185" s="120"/>
      <c r="H185" s="123">
        <v>29</v>
      </c>
      <c r="I185" s="96">
        <f>H185/$H$187</f>
        <v>0.003090366581415175</v>
      </c>
      <c r="J185" s="123">
        <v>196</v>
      </c>
      <c r="K185" s="96">
        <f>J185/$J$187</f>
        <v>0.003822898381119563</v>
      </c>
      <c r="L185" s="122"/>
      <c r="M185" s="113"/>
      <c r="N185" s="6"/>
    </row>
    <row r="186" spans="1:14" ht="15.75">
      <c r="A186" s="28"/>
      <c r="B186" s="68" t="s">
        <v>123</v>
      </c>
      <c r="C186" s="123">
        <v>59</v>
      </c>
      <c r="D186" s="96">
        <f>C186/$C$187</f>
        <v>0.012413212707763518</v>
      </c>
      <c r="E186" s="123">
        <v>1239</v>
      </c>
      <c r="F186" s="96">
        <f>E186/$E$187</f>
        <v>0.012529452809772771</v>
      </c>
      <c r="G186" s="120"/>
      <c r="H186" s="123">
        <v>59</v>
      </c>
      <c r="I186" s="96">
        <f>H186/$H$187</f>
        <v>0.006287297527706735</v>
      </c>
      <c r="J186" s="123">
        <v>417</v>
      </c>
      <c r="K186" s="96">
        <f>J186/$J$187</f>
        <v>0.008133411351667641</v>
      </c>
      <c r="L186" s="122"/>
      <c r="M186" s="113"/>
      <c r="N186" s="6"/>
    </row>
    <row r="187" spans="1:14" ht="15.75">
      <c r="A187" s="28"/>
      <c r="B187" s="68" t="str">
        <f>B177</f>
        <v>Total Performing  Assets</v>
      </c>
      <c r="C187" s="123">
        <f>SUM(C183:C186)</f>
        <v>4753</v>
      </c>
      <c r="D187" s="96">
        <f>SUM(D183:D186)</f>
        <v>1</v>
      </c>
      <c r="E187" s="123">
        <f>SUM(E183:E186)</f>
        <v>98887</v>
      </c>
      <c r="F187" s="96">
        <f>SUM(F183:F186)</f>
        <v>1</v>
      </c>
      <c r="G187" s="120"/>
      <c r="H187" s="123">
        <f>SUM(H183:H186)</f>
        <v>9384</v>
      </c>
      <c r="I187" s="96">
        <f>SUM(I183:I186)</f>
        <v>1</v>
      </c>
      <c r="J187" s="123">
        <f>SUM(J183:J186)</f>
        <v>51270</v>
      </c>
      <c r="K187" s="96">
        <f>SUM(K183:K186)</f>
        <v>1</v>
      </c>
      <c r="L187" s="122"/>
      <c r="M187" s="113"/>
      <c r="N187" s="6"/>
    </row>
    <row r="188" spans="1:14" ht="15.75">
      <c r="A188" s="28"/>
      <c r="B188" s="68" t="s">
        <v>125</v>
      </c>
      <c r="C188" s="123">
        <v>3</v>
      </c>
      <c r="D188" s="126"/>
      <c r="E188" s="123">
        <v>4</v>
      </c>
      <c r="F188" s="124"/>
      <c r="G188" s="120"/>
      <c r="H188" s="123">
        <v>27</v>
      </c>
      <c r="I188" s="126"/>
      <c r="J188" s="123">
        <v>219</v>
      </c>
      <c r="K188" s="126"/>
      <c r="L188" s="122"/>
      <c r="M188" s="113"/>
      <c r="N188" s="6"/>
    </row>
    <row r="189" spans="1:15" ht="15.75">
      <c r="A189" s="28"/>
      <c r="B189" s="68" t="s">
        <v>126</v>
      </c>
      <c r="C189" s="123">
        <f>SUM(C187:C188)</f>
        <v>4756</v>
      </c>
      <c r="D189" s="156"/>
      <c r="E189" s="123">
        <f>E188+E187</f>
        <v>98891</v>
      </c>
      <c r="F189" s="127"/>
      <c r="G189" s="156"/>
      <c r="H189" s="123">
        <f>SUM(H187:H188)</f>
        <v>9411</v>
      </c>
      <c r="I189" s="156"/>
      <c r="J189" s="123">
        <f>J188+J187</f>
        <v>51489</v>
      </c>
      <c r="K189" s="156"/>
      <c r="L189" s="156"/>
      <c r="M189" s="156"/>
      <c r="N189" s="6"/>
      <c r="O189" s="72"/>
    </row>
    <row r="190" spans="1:14" ht="15.75">
      <c r="A190" s="28"/>
      <c r="B190" s="68"/>
      <c r="C190" s="120"/>
      <c r="D190" s="121"/>
      <c r="E190" s="120"/>
      <c r="F190" s="121"/>
      <c r="G190" s="120"/>
      <c r="H190" s="128"/>
      <c r="I190" s="120"/>
      <c r="J190" s="123"/>
      <c r="K190" s="120"/>
      <c r="L190" s="122"/>
      <c r="M190" s="113"/>
      <c r="N190" s="6"/>
    </row>
    <row r="191" spans="1:14" ht="15.75">
      <c r="A191" s="28"/>
      <c r="B191" s="68" t="s">
        <v>126</v>
      </c>
      <c r="C191" s="120"/>
      <c r="D191" s="121"/>
      <c r="E191" s="120"/>
      <c r="F191" s="121"/>
      <c r="G191" s="120"/>
      <c r="H191" s="128"/>
      <c r="I191" s="126"/>
      <c r="J191" s="123">
        <f>E179+J179+E189+J189</f>
        <v>223521</v>
      </c>
      <c r="K191" s="127"/>
      <c r="L191" s="122"/>
      <c r="M191" s="113"/>
      <c r="N191" s="6"/>
    </row>
    <row r="192" spans="1:14" ht="15.75">
      <c r="A192" s="28"/>
      <c r="B192" s="68"/>
      <c r="C192" s="121"/>
      <c r="D192" s="121"/>
      <c r="E192" s="120"/>
      <c r="F192" s="121"/>
      <c r="G192" s="120"/>
      <c r="H192" s="121"/>
      <c r="I192" s="120"/>
      <c r="J192" s="123"/>
      <c r="K192" s="126"/>
      <c r="L192" s="122"/>
      <c r="M192" s="113"/>
      <c r="N192" s="6"/>
    </row>
    <row r="193" spans="1:14" ht="15.75">
      <c r="A193" s="28"/>
      <c r="B193" s="129" t="s">
        <v>127</v>
      </c>
      <c r="C193" s="120"/>
      <c r="D193" s="121"/>
      <c r="E193" s="120"/>
      <c r="F193" s="121"/>
      <c r="G193" s="120"/>
      <c r="H193" s="121"/>
      <c r="I193" s="120"/>
      <c r="J193" s="123"/>
      <c r="K193" s="120"/>
      <c r="L193" s="122"/>
      <c r="M193" s="113"/>
      <c r="N193" s="6"/>
    </row>
    <row r="194" spans="1:14" ht="15.75">
      <c r="A194" s="28"/>
      <c r="B194" s="68"/>
      <c r="C194" s="120"/>
      <c r="D194" s="121"/>
      <c r="E194" s="120"/>
      <c r="F194" s="121"/>
      <c r="G194" s="120"/>
      <c r="H194" s="121"/>
      <c r="I194" s="120"/>
      <c r="J194" s="123"/>
      <c r="K194" s="120"/>
      <c r="L194" s="122"/>
      <c r="M194" s="113"/>
      <c r="N194" s="6"/>
    </row>
    <row r="195" spans="1:14" ht="15.75">
      <c r="A195" s="28"/>
      <c r="B195" s="68" t="s">
        <v>128</v>
      </c>
      <c r="C195" s="120"/>
      <c r="D195" s="121"/>
      <c r="E195" s="120"/>
      <c r="F195" s="121"/>
      <c r="G195" s="120"/>
      <c r="H195" s="121"/>
      <c r="I195" s="120"/>
      <c r="J195" s="123">
        <f>+E177+J177+E187+J187</f>
        <v>196880</v>
      </c>
      <c r="K195" s="120"/>
      <c r="L195" s="122"/>
      <c r="M195" s="113"/>
      <c r="N195" s="6"/>
    </row>
    <row r="196" spans="1:14" ht="15.75">
      <c r="A196" s="28"/>
      <c r="B196" s="68" t="s">
        <v>129</v>
      </c>
      <c r="C196" s="120"/>
      <c r="D196" s="121"/>
      <c r="E196" s="120"/>
      <c r="F196" s="121"/>
      <c r="G196" s="120"/>
      <c r="H196" s="121"/>
      <c r="I196" s="120"/>
      <c r="J196" s="123">
        <f>L93</f>
        <v>55909</v>
      </c>
      <c r="K196" s="120"/>
      <c r="L196" s="122"/>
      <c r="M196" s="113"/>
      <c r="N196" s="6"/>
    </row>
    <row r="197" spans="1:14" ht="15.75">
      <c r="A197" s="28"/>
      <c r="B197" s="68" t="s">
        <v>130</v>
      </c>
      <c r="C197" s="120"/>
      <c r="D197" s="121"/>
      <c r="E197" s="120"/>
      <c r="F197" s="121"/>
      <c r="G197" s="120"/>
      <c r="H197" s="121"/>
      <c r="I197" s="120"/>
      <c r="J197" s="123">
        <v>-1789</v>
      </c>
      <c r="K197" s="120"/>
      <c r="L197" s="122"/>
      <c r="M197" s="113"/>
      <c r="N197" s="6"/>
    </row>
    <row r="198" spans="1:14" ht="15.75">
      <c r="A198" s="28"/>
      <c r="B198" s="68" t="s">
        <v>131</v>
      </c>
      <c r="C198" s="120"/>
      <c r="D198" s="121"/>
      <c r="E198" s="120"/>
      <c r="F198" s="121"/>
      <c r="G198" s="120"/>
      <c r="H198" s="121"/>
      <c r="I198" s="120"/>
      <c r="J198" s="123">
        <f>SUM(J195:J197)</f>
        <v>251000</v>
      </c>
      <c r="K198" s="120"/>
      <c r="L198" s="122"/>
      <c r="M198" s="113"/>
      <c r="N198" s="6"/>
    </row>
    <row r="199" spans="1:14" ht="15.75">
      <c r="A199" s="28"/>
      <c r="B199" s="68"/>
      <c r="C199" s="120"/>
      <c r="D199" s="121"/>
      <c r="E199" s="120"/>
      <c r="F199" s="121"/>
      <c r="G199" s="120"/>
      <c r="H199" s="121"/>
      <c r="I199" s="120"/>
      <c r="J199" s="123"/>
      <c r="K199" s="120"/>
      <c r="L199" s="122"/>
      <c r="M199" s="113"/>
      <c r="N199" s="6"/>
    </row>
    <row r="200" spans="1:14" ht="15.75">
      <c r="A200" s="28"/>
      <c r="B200" s="68" t="s">
        <v>132</v>
      </c>
      <c r="C200" s="120"/>
      <c r="D200" s="121"/>
      <c r="E200" s="120"/>
      <c r="F200" s="121"/>
      <c r="G200" s="120"/>
      <c r="H200" s="121"/>
      <c r="I200" s="120"/>
      <c r="J200" s="123">
        <f>L30</f>
        <v>251000</v>
      </c>
      <c r="K200" s="120"/>
      <c r="L200" s="122"/>
      <c r="M200" s="113"/>
      <c r="N200" s="6"/>
    </row>
    <row r="201" spans="1:14" ht="15.75">
      <c r="A201" s="28"/>
      <c r="B201" s="68"/>
      <c r="C201" s="120"/>
      <c r="D201" s="121"/>
      <c r="E201" s="120"/>
      <c r="F201" s="121"/>
      <c r="G201" s="120"/>
      <c r="H201" s="121"/>
      <c r="I201" s="120"/>
      <c r="J201" s="123"/>
      <c r="K201" s="120"/>
      <c r="L201" s="122"/>
      <c r="M201" s="113"/>
      <c r="N201" s="6"/>
    </row>
    <row r="202" spans="1:14" ht="15.75">
      <c r="A202" s="28"/>
      <c r="B202" s="68" t="s">
        <v>133</v>
      </c>
      <c r="C202" s="120"/>
      <c r="D202" s="121"/>
      <c r="E202" s="120"/>
      <c r="F202" s="121"/>
      <c r="G202" s="120"/>
      <c r="H202" s="121"/>
      <c r="I202" s="120"/>
      <c r="J202" s="123">
        <f>J198/J200</f>
        <v>1</v>
      </c>
      <c r="K202" s="120"/>
      <c r="L202" s="122"/>
      <c r="M202" s="113"/>
      <c r="N202" s="6"/>
    </row>
    <row r="203" spans="1:14" ht="15.75">
      <c r="A203" s="28"/>
      <c r="B203" s="29"/>
      <c r="C203" s="29"/>
      <c r="D203" s="36"/>
      <c r="E203" s="29"/>
      <c r="F203" s="29"/>
      <c r="G203" s="29"/>
      <c r="H203" s="66"/>
      <c r="I203" s="130"/>
      <c r="J203" s="67"/>
      <c r="K203" s="130"/>
      <c r="L203" s="99"/>
      <c r="M203" s="29"/>
      <c r="N203" s="6"/>
    </row>
    <row r="204" spans="1:14" ht="15.75">
      <c r="A204" s="131"/>
      <c r="B204" s="33" t="s">
        <v>134</v>
      </c>
      <c r="C204" s="132"/>
      <c r="D204" s="120" t="s">
        <v>153</v>
      </c>
      <c r="E204" s="122"/>
      <c r="F204" s="33" t="s">
        <v>166</v>
      </c>
      <c r="G204" s="133"/>
      <c r="H204" s="133"/>
      <c r="I204" s="133"/>
      <c r="J204" s="134"/>
      <c r="K204" s="32"/>
      <c r="L204" s="32"/>
      <c r="M204" s="32"/>
      <c r="N204" s="6"/>
    </row>
    <row r="205" spans="1:14" ht="15.75">
      <c r="A205" s="135"/>
      <c r="B205" s="15" t="s">
        <v>135</v>
      </c>
      <c r="C205" s="136"/>
      <c r="D205" s="137" t="s">
        <v>154</v>
      </c>
      <c r="E205" s="15"/>
      <c r="F205" s="15" t="s">
        <v>167</v>
      </c>
      <c r="G205" s="136"/>
      <c r="H205" s="136"/>
      <c r="I205" s="14"/>
      <c r="J205" s="14"/>
      <c r="K205" s="14"/>
      <c r="L205" s="14"/>
      <c r="M205" s="14"/>
      <c r="N205" s="6"/>
    </row>
    <row r="206" spans="1:14" ht="15.75">
      <c r="A206" s="135"/>
      <c r="B206" s="15" t="s">
        <v>136</v>
      </c>
      <c r="C206" s="136"/>
      <c r="D206" s="137" t="s">
        <v>155</v>
      </c>
      <c r="E206" s="15"/>
      <c r="F206" s="15" t="s">
        <v>168</v>
      </c>
      <c r="G206" s="136"/>
      <c r="H206" s="136"/>
      <c r="I206" s="14"/>
      <c r="J206" s="14"/>
      <c r="K206" s="14"/>
      <c r="L206" s="14"/>
      <c r="M206" s="14"/>
      <c r="N206" s="6"/>
    </row>
    <row r="207" spans="1:14" ht="15.75">
      <c r="A207" s="135"/>
      <c r="B207" s="15"/>
      <c r="C207" s="136"/>
      <c r="D207" s="137"/>
      <c r="E207" s="15"/>
      <c r="F207" s="15"/>
      <c r="G207" s="136"/>
      <c r="H207" s="136"/>
      <c r="I207" s="14"/>
      <c r="J207" s="14"/>
      <c r="K207" s="14"/>
      <c r="L207" s="14"/>
      <c r="M207" s="14"/>
      <c r="N207" s="6"/>
    </row>
    <row r="208" spans="1:14" ht="15.75">
      <c r="A208" s="135"/>
      <c r="B208" s="15"/>
      <c r="C208" s="136"/>
      <c r="D208" s="137"/>
      <c r="E208" s="15"/>
      <c r="F208" s="15"/>
      <c r="G208" s="136"/>
      <c r="H208" s="136"/>
      <c r="I208" s="14"/>
      <c r="J208" s="14"/>
      <c r="K208" s="14"/>
      <c r="L208" s="14"/>
      <c r="M208" s="14"/>
      <c r="N208" s="6"/>
    </row>
    <row r="209" spans="1:14" ht="15.75">
      <c r="A209" s="135"/>
      <c r="B209" s="15" t="str">
        <f>B148</f>
        <v>PPAF1 INVESTOR REPORT QUARTER ENDING MAY 2004</v>
      </c>
      <c r="C209" s="136"/>
      <c r="D209" s="137"/>
      <c r="E209" s="15"/>
      <c r="F209" s="15"/>
      <c r="G209" s="136"/>
      <c r="H209" s="136"/>
      <c r="I209" s="14"/>
      <c r="J209" s="14"/>
      <c r="K209" s="14"/>
      <c r="L209" s="14"/>
      <c r="M209" s="14"/>
      <c r="N209" s="6"/>
    </row>
    <row r="210" spans="1:13" ht="15">
      <c r="A210" s="138"/>
      <c r="B210" s="138"/>
      <c r="C210" s="138"/>
      <c r="D210" s="138"/>
      <c r="E210" s="138"/>
      <c r="F210" s="138"/>
      <c r="G210" s="138"/>
      <c r="H210" s="138"/>
      <c r="I210" s="138"/>
      <c r="J210" s="138"/>
      <c r="K210" s="138"/>
      <c r="L210" s="138"/>
      <c r="M210" s="138"/>
    </row>
  </sheetData>
  <printOptions horizontalCentered="1" verticalCentered="1"/>
  <pageMargins left="0.2362204724409449" right="0.4330708661417323" top="0.2362204724409449" bottom="0.7480314960629921" header="0" footer="0"/>
  <pageSetup horizontalDpi="600" verticalDpi="600" orientation="landscape" paperSize="9" scale="50" r:id="rId2"/>
  <rowBreaks count="4" manualBreakCount="4">
    <brk id="50" max="13" man="1"/>
    <brk id="97" max="13" man="1"/>
    <brk id="148" max="13" man="1"/>
    <brk id="210" max="0" man="1"/>
  </rowBreaks>
  <drawing r:id="rId1"/>
</worksheet>
</file>

<file path=xl/worksheets/sheet13.xml><?xml version="1.0" encoding="utf-8"?>
<worksheet xmlns="http://schemas.openxmlformats.org/spreadsheetml/2006/main" xmlns:r="http://schemas.openxmlformats.org/officeDocument/2006/relationships">
  <dimension ref="A1:P210"/>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1.6640625" style="1" customWidth="1"/>
    <col min="3" max="3" width="18.88671875" style="1" customWidth="1"/>
    <col min="4" max="4" width="14.6640625" style="1" customWidth="1"/>
    <col min="5" max="5" width="12.4453125" style="1" customWidth="1"/>
    <col min="6" max="6" width="14.6640625" style="1" customWidth="1"/>
    <col min="7" max="7" width="7.6640625" style="1" customWidth="1"/>
    <col min="8" max="8" width="13.6640625" style="1" customWidth="1"/>
    <col min="9" max="9" width="9.6640625" style="1" customWidth="1"/>
    <col min="10" max="10" width="13.6640625" style="1" customWidth="1"/>
    <col min="11" max="11" width="8.6640625" style="1" customWidth="1"/>
    <col min="12" max="12" width="15.6640625" style="1" customWidth="1"/>
    <col min="13" max="13" width="11.886718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8"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2" t="s">
        <v>2</v>
      </c>
      <c r="C5" s="13"/>
      <c r="D5" s="9"/>
      <c r="E5" s="9"/>
      <c r="F5" s="9"/>
      <c r="G5" s="9"/>
      <c r="H5" s="9"/>
      <c r="I5" s="9"/>
      <c r="J5" s="9"/>
      <c r="K5" s="9"/>
      <c r="L5" s="9"/>
      <c r="M5" s="9"/>
      <c r="N5" s="6"/>
    </row>
    <row r="6" spans="1:14" ht="15.75">
      <c r="A6" s="7"/>
      <c r="B6" s="12" t="s">
        <v>3</v>
      </c>
      <c r="C6" s="13"/>
      <c r="D6" s="9"/>
      <c r="E6" s="9"/>
      <c r="F6" s="9"/>
      <c r="G6" s="9"/>
      <c r="H6" s="9"/>
      <c r="I6" s="9"/>
      <c r="J6" s="9"/>
      <c r="K6" s="9"/>
      <c r="L6" s="9"/>
      <c r="M6" s="9"/>
      <c r="N6" s="6"/>
    </row>
    <row r="7" spans="1:14" ht="15.75">
      <c r="A7" s="7"/>
      <c r="B7" s="12" t="s">
        <v>4</v>
      </c>
      <c r="C7" s="13"/>
      <c r="D7" s="9"/>
      <c r="E7" s="9"/>
      <c r="F7" s="9"/>
      <c r="G7" s="9"/>
      <c r="H7" s="9"/>
      <c r="I7" s="9"/>
      <c r="J7" s="9"/>
      <c r="K7" s="9"/>
      <c r="L7" s="9"/>
      <c r="M7" s="9"/>
      <c r="N7" s="6"/>
    </row>
    <row r="8" spans="1:14" ht="15.75">
      <c r="A8" s="7"/>
      <c r="B8" s="14"/>
      <c r="C8" s="13"/>
      <c r="D8" s="9"/>
      <c r="E8" s="9"/>
      <c r="F8" s="9"/>
      <c r="G8" s="9"/>
      <c r="H8" s="9"/>
      <c r="I8" s="9"/>
      <c r="J8" s="9"/>
      <c r="K8" s="9"/>
      <c r="L8" s="9"/>
      <c r="M8" s="9"/>
      <c r="N8" s="6"/>
    </row>
    <row r="9" spans="1:14" ht="15.75">
      <c r="A9" s="7"/>
      <c r="B9" s="13"/>
      <c r="C9" s="13"/>
      <c r="D9" s="15"/>
      <c r="E9" s="15"/>
      <c r="F9" s="9"/>
      <c r="G9" s="9"/>
      <c r="H9" s="9"/>
      <c r="I9" s="9"/>
      <c r="J9" s="9"/>
      <c r="K9" s="9"/>
      <c r="L9" s="9"/>
      <c r="M9" s="9"/>
      <c r="N9" s="6"/>
    </row>
    <row r="10" spans="1:14" ht="15.75">
      <c r="A10" s="7"/>
      <c r="B10" s="15" t="s">
        <v>5</v>
      </c>
      <c r="C10" s="15"/>
      <c r="D10" s="9"/>
      <c r="E10" s="9"/>
      <c r="F10" s="9"/>
      <c r="G10" s="9"/>
      <c r="H10" s="9"/>
      <c r="I10" s="9"/>
      <c r="J10" s="9"/>
      <c r="K10" s="9"/>
      <c r="L10" s="9"/>
      <c r="M10" s="9"/>
      <c r="N10" s="6"/>
    </row>
    <row r="11" spans="1:14" ht="15.75">
      <c r="A11" s="7"/>
      <c r="B11" s="15"/>
      <c r="C11" s="15"/>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6" t="s">
        <v>6</v>
      </c>
      <c r="C13" s="16"/>
      <c r="D13" s="17"/>
      <c r="E13" s="17"/>
      <c r="F13" s="17"/>
      <c r="G13" s="17"/>
      <c r="H13" s="17"/>
      <c r="I13" s="17"/>
      <c r="J13" s="17"/>
      <c r="K13" s="17"/>
      <c r="L13" s="18" t="s">
        <v>186</v>
      </c>
      <c r="M13" s="9"/>
      <c r="N13" s="6"/>
    </row>
    <row r="14" spans="1:14" ht="15.75">
      <c r="A14" s="7"/>
      <c r="B14" s="16" t="s">
        <v>7</v>
      </c>
      <c r="C14" s="16"/>
      <c r="D14" s="19" t="s">
        <v>140</v>
      </c>
      <c r="E14" s="20">
        <v>0.348</v>
      </c>
      <c r="F14" s="19" t="s">
        <v>150</v>
      </c>
      <c r="G14" s="20">
        <v>0.229</v>
      </c>
      <c r="H14" s="19" t="s">
        <v>156</v>
      </c>
      <c r="I14" s="20">
        <v>0.098</v>
      </c>
      <c r="J14" s="19" t="s">
        <v>165</v>
      </c>
      <c r="K14" s="20">
        <v>0.1</v>
      </c>
      <c r="L14" s="18"/>
      <c r="M14" s="17"/>
      <c r="N14" s="6"/>
    </row>
    <row r="15" spans="1:14" ht="15.75">
      <c r="A15" s="7"/>
      <c r="B15" s="16" t="s">
        <v>8</v>
      </c>
      <c r="C15" s="16"/>
      <c r="D15" s="19" t="s">
        <v>140</v>
      </c>
      <c r="E15" s="20">
        <f>E177/(J195+$L$93)</f>
        <v>0.10668185720106492</v>
      </c>
      <c r="F15" s="19" t="s">
        <v>150</v>
      </c>
      <c r="G15" s="20">
        <f>J177/(J195+$L$93)</f>
        <v>0.04147727947023011</v>
      </c>
      <c r="H15" s="19" t="s">
        <v>156</v>
      </c>
      <c r="I15" s="20">
        <f>E187/(J195+$L$93)</f>
        <v>0.40689270498320734</v>
      </c>
      <c r="J15" s="19" t="s">
        <v>165</v>
      </c>
      <c r="K15" s="20">
        <f>J187/(J195+$L$93)</f>
        <v>0.1796953190210017</v>
      </c>
      <c r="L15" s="18"/>
      <c r="M15" s="17"/>
      <c r="N15" s="6"/>
    </row>
    <row r="16" spans="1:14" ht="15.75">
      <c r="A16" s="7"/>
      <c r="B16" s="16" t="s">
        <v>9</v>
      </c>
      <c r="C16" s="16"/>
      <c r="D16" s="17"/>
      <c r="E16" s="17"/>
      <c r="F16" s="17"/>
      <c r="G16" s="17"/>
      <c r="H16" s="17"/>
      <c r="I16" s="17"/>
      <c r="J16" s="17"/>
      <c r="K16" s="17"/>
      <c r="L16" s="178">
        <v>37070</v>
      </c>
      <c r="M16" s="9"/>
      <c r="N16" s="6"/>
    </row>
    <row r="17" spans="1:14" ht="15.75">
      <c r="A17" s="7"/>
      <c r="B17" s="16" t="s">
        <v>10</v>
      </c>
      <c r="C17" s="16"/>
      <c r="D17" s="17"/>
      <c r="E17" s="17"/>
      <c r="F17" s="17"/>
      <c r="G17" s="17"/>
      <c r="H17" s="17"/>
      <c r="I17" s="17"/>
      <c r="J17" s="17"/>
      <c r="K17" s="17"/>
      <c r="L17" s="21">
        <v>38253</v>
      </c>
      <c r="M17" s="9"/>
      <c r="N17" s="6"/>
    </row>
    <row r="18" spans="1:14" ht="15.75">
      <c r="A18" s="7"/>
      <c r="B18" s="9"/>
      <c r="C18" s="9"/>
      <c r="D18" s="9"/>
      <c r="E18" s="9"/>
      <c r="F18" s="9"/>
      <c r="G18" s="9"/>
      <c r="H18" s="9"/>
      <c r="I18" s="9"/>
      <c r="J18" s="9"/>
      <c r="K18" s="9"/>
      <c r="L18" s="22"/>
      <c r="M18" s="9"/>
      <c r="N18" s="6"/>
    </row>
    <row r="19" spans="1:14" ht="15.75">
      <c r="A19" s="7"/>
      <c r="B19" s="23" t="s">
        <v>11</v>
      </c>
      <c r="C19" s="9"/>
      <c r="D19" s="9"/>
      <c r="E19" s="9"/>
      <c r="F19" s="9"/>
      <c r="G19" s="9"/>
      <c r="H19" s="9"/>
      <c r="I19" s="9"/>
      <c r="J19" s="22"/>
      <c r="K19" s="9"/>
      <c r="L19" s="14"/>
      <c r="M19" s="9"/>
      <c r="N19" s="6"/>
    </row>
    <row r="20" spans="1:14" ht="15.75">
      <c r="A20" s="7"/>
      <c r="B20" s="9"/>
      <c r="C20" s="9"/>
      <c r="D20" s="9"/>
      <c r="E20" s="9"/>
      <c r="F20" s="9"/>
      <c r="G20" s="9"/>
      <c r="H20" s="9"/>
      <c r="I20" s="9"/>
      <c r="J20" s="9"/>
      <c r="K20" s="9"/>
      <c r="L20" s="24"/>
      <c r="M20" s="9"/>
      <c r="N20" s="6"/>
    </row>
    <row r="21" spans="1:14" ht="15.75">
      <c r="A21" s="7"/>
      <c r="B21" s="9"/>
      <c r="C21" s="159" t="s">
        <v>137</v>
      </c>
      <c r="D21" s="161" t="s">
        <v>142</v>
      </c>
      <c r="E21" s="161"/>
      <c r="F21" s="161" t="s">
        <v>158</v>
      </c>
      <c r="G21" s="161"/>
      <c r="H21" s="161" t="s">
        <v>169</v>
      </c>
      <c r="I21" s="26"/>
      <c r="J21" s="27"/>
      <c r="K21" s="14"/>
      <c r="L21" s="14"/>
      <c r="M21" s="9"/>
      <c r="N21" s="6"/>
    </row>
    <row r="22" spans="1:14" ht="15.75">
      <c r="A22" s="28"/>
      <c r="B22" s="29" t="s">
        <v>12</v>
      </c>
      <c r="C22" s="160" t="s">
        <v>138</v>
      </c>
      <c r="D22" s="31" t="s">
        <v>143</v>
      </c>
      <c r="E22" s="31"/>
      <c r="F22" s="31" t="s">
        <v>159</v>
      </c>
      <c r="G22" s="31"/>
      <c r="H22" s="31" t="s">
        <v>170</v>
      </c>
      <c r="I22" s="31"/>
      <c r="J22" s="31"/>
      <c r="K22" s="32"/>
      <c r="L22" s="32"/>
      <c r="M22" s="29"/>
      <c r="N22" s="6"/>
    </row>
    <row r="23" spans="1:14" ht="15.75">
      <c r="A23" s="28"/>
      <c r="B23" s="29" t="s">
        <v>13</v>
      </c>
      <c r="C23" s="30"/>
      <c r="D23" s="31" t="s">
        <v>144</v>
      </c>
      <c r="E23" s="31"/>
      <c r="F23" s="31" t="s">
        <v>160</v>
      </c>
      <c r="G23" s="31"/>
      <c r="H23" s="31" t="s">
        <v>171</v>
      </c>
      <c r="I23" s="31"/>
      <c r="J23" s="31"/>
      <c r="K23" s="32"/>
      <c r="L23" s="32"/>
      <c r="M23" s="29"/>
      <c r="N23" s="6"/>
    </row>
    <row r="24" spans="1:14" ht="15.75">
      <c r="A24" s="28"/>
      <c r="B24" s="33" t="s">
        <v>14</v>
      </c>
      <c r="C24" s="33"/>
      <c r="D24" s="34" t="s">
        <v>143</v>
      </c>
      <c r="E24" s="34"/>
      <c r="F24" s="34" t="s">
        <v>159</v>
      </c>
      <c r="G24" s="34"/>
      <c r="H24" s="34" t="s">
        <v>170</v>
      </c>
      <c r="I24" s="34"/>
      <c r="J24" s="34"/>
      <c r="K24" s="35"/>
      <c r="L24" s="32"/>
      <c r="M24" s="29"/>
      <c r="N24" s="6"/>
    </row>
    <row r="25" spans="1:14" ht="15.75">
      <c r="A25" s="28"/>
      <c r="B25" s="33" t="s">
        <v>15</v>
      </c>
      <c r="C25" s="33"/>
      <c r="D25" s="34" t="s">
        <v>144</v>
      </c>
      <c r="E25" s="34"/>
      <c r="F25" s="34" t="s">
        <v>160</v>
      </c>
      <c r="G25" s="34"/>
      <c r="H25" s="34" t="s">
        <v>171</v>
      </c>
      <c r="I25" s="34"/>
      <c r="J25" s="34"/>
      <c r="K25" s="35"/>
      <c r="L25" s="32"/>
      <c r="M25" s="29"/>
      <c r="N25" s="6"/>
    </row>
    <row r="26" spans="1:14" ht="15.75">
      <c r="A26" s="28"/>
      <c r="B26" s="29" t="s">
        <v>16</v>
      </c>
      <c r="C26" s="29"/>
      <c r="D26" s="36" t="s">
        <v>145</v>
      </c>
      <c r="E26" s="31"/>
      <c r="F26" s="36" t="s">
        <v>161</v>
      </c>
      <c r="G26" s="31"/>
      <c r="H26" s="36" t="s">
        <v>172</v>
      </c>
      <c r="I26" s="31"/>
      <c r="J26" s="36"/>
      <c r="K26" s="32"/>
      <c r="L26" s="32"/>
      <c r="M26" s="29"/>
      <c r="N26" s="6"/>
    </row>
    <row r="27" spans="1:14" ht="15.75">
      <c r="A27" s="28"/>
      <c r="B27" s="29"/>
      <c r="C27" s="29"/>
      <c r="D27" s="29"/>
      <c r="E27" s="31"/>
      <c r="F27" s="31"/>
      <c r="G27" s="31"/>
      <c r="H27" s="31"/>
      <c r="I27" s="31"/>
      <c r="J27" s="31"/>
      <c r="K27" s="32"/>
      <c r="L27" s="32"/>
      <c r="M27" s="29"/>
      <c r="N27" s="6"/>
    </row>
    <row r="28" spans="1:14" ht="15.75">
      <c r="A28" s="28"/>
      <c r="B28" s="29" t="s">
        <v>17</v>
      </c>
      <c r="C28" s="29"/>
      <c r="D28" s="37">
        <v>178210</v>
      </c>
      <c r="E28" s="38"/>
      <c r="F28" s="37">
        <v>51450</v>
      </c>
      <c r="G28" s="37"/>
      <c r="H28" s="37">
        <v>21340</v>
      </c>
      <c r="I28" s="37"/>
      <c r="J28" s="37"/>
      <c r="K28" s="39"/>
      <c r="L28" s="37">
        <f>J28+H28+F28+D28</f>
        <v>251000</v>
      </c>
      <c r="M28" s="40"/>
      <c r="N28" s="6"/>
    </row>
    <row r="29" spans="1:14" ht="15.75">
      <c r="A29" s="28"/>
      <c r="B29" s="29" t="s">
        <v>18</v>
      </c>
      <c r="C29" s="44">
        <v>1</v>
      </c>
      <c r="D29" s="37">
        <v>178210</v>
      </c>
      <c r="E29" s="38"/>
      <c r="F29" s="37">
        <v>51450</v>
      </c>
      <c r="G29" s="37"/>
      <c r="H29" s="37">
        <v>21340</v>
      </c>
      <c r="I29" s="42"/>
      <c r="J29" s="37"/>
      <c r="K29" s="39"/>
      <c r="L29" s="37">
        <f>J29+H29+F29+D29</f>
        <v>251000</v>
      </c>
      <c r="M29" s="40"/>
      <c r="N29" s="6"/>
    </row>
    <row r="30" spans="1:14" ht="15.75">
      <c r="A30" s="43"/>
      <c r="B30" s="33" t="s">
        <v>19</v>
      </c>
      <c r="C30" s="44">
        <v>1</v>
      </c>
      <c r="D30" s="45">
        <v>178210</v>
      </c>
      <c r="E30" s="46"/>
      <c r="F30" s="45">
        <v>51450</v>
      </c>
      <c r="G30" s="45"/>
      <c r="H30" s="45">
        <v>21340</v>
      </c>
      <c r="I30" s="45"/>
      <c r="J30" s="45"/>
      <c r="K30" s="47"/>
      <c r="L30" s="45">
        <f>J30+H30+F30+D30</f>
        <v>251000</v>
      </c>
      <c r="M30" s="29"/>
      <c r="N30" s="6"/>
    </row>
    <row r="31" spans="1:14" ht="15.75">
      <c r="A31" s="28"/>
      <c r="B31" s="29" t="s">
        <v>20</v>
      </c>
      <c r="C31" s="155"/>
      <c r="D31" s="36" t="s">
        <v>146</v>
      </c>
      <c r="E31" s="29"/>
      <c r="F31" s="36" t="s">
        <v>162</v>
      </c>
      <c r="G31" s="36"/>
      <c r="H31" s="36" t="s">
        <v>173</v>
      </c>
      <c r="I31" s="36"/>
      <c r="J31" s="36"/>
      <c r="K31" s="32"/>
      <c r="L31" s="32"/>
      <c r="M31" s="29"/>
      <c r="N31" s="6"/>
    </row>
    <row r="32" spans="1:14" ht="15.75">
      <c r="A32" s="28"/>
      <c r="B32" s="29" t="s">
        <v>21</v>
      </c>
      <c r="C32" s="155"/>
      <c r="D32" s="49">
        <v>0.0511375</v>
      </c>
      <c r="E32" s="50"/>
      <c r="F32" s="49">
        <v>0.0567375</v>
      </c>
      <c r="G32" s="49"/>
      <c r="H32" s="49">
        <v>0.0707375</v>
      </c>
      <c r="I32" s="51"/>
      <c r="J32" s="49"/>
      <c r="K32" s="32"/>
      <c r="L32" s="51">
        <f>SUMPRODUCT(D32:J32,D30:J30)/L30</f>
        <v>0.053951778884462155</v>
      </c>
      <c r="M32" s="29"/>
      <c r="N32" s="6"/>
    </row>
    <row r="33" spans="1:14" ht="15.75">
      <c r="A33" s="28"/>
      <c r="B33" s="29" t="s">
        <v>22</v>
      </c>
      <c r="C33" s="155"/>
      <c r="D33" s="49">
        <v>0.0456125</v>
      </c>
      <c r="E33" s="50"/>
      <c r="F33" s="49">
        <v>0.0512125</v>
      </c>
      <c r="G33" s="49"/>
      <c r="H33" s="49">
        <v>0.0652125</v>
      </c>
      <c r="I33" s="51"/>
      <c r="J33" s="49"/>
      <c r="K33" s="32"/>
      <c r="L33" s="32"/>
      <c r="M33" s="29"/>
      <c r="N33" s="6"/>
    </row>
    <row r="34" spans="1:14" ht="15.75">
      <c r="A34" s="28"/>
      <c r="B34" s="29" t="s">
        <v>23</v>
      </c>
      <c r="C34" s="155"/>
      <c r="D34" s="36" t="s">
        <v>147</v>
      </c>
      <c r="E34" s="29"/>
      <c r="F34" s="36" t="s">
        <v>147</v>
      </c>
      <c r="G34" s="36"/>
      <c r="H34" s="36" t="s">
        <v>147</v>
      </c>
      <c r="I34" s="36"/>
      <c r="J34" s="36"/>
      <c r="K34" s="32"/>
      <c r="L34" s="32"/>
      <c r="M34" s="29"/>
      <c r="N34" s="6"/>
    </row>
    <row r="35" spans="1:14" ht="15.75">
      <c r="A35" s="28"/>
      <c r="B35" s="29" t="s">
        <v>24</v>
      </c>
      <c r="C35" s="29"/>
      <c r="D35" s="52">
        <v>39248</v>
      </c>
      <c r="E35" s="29"/>
      <c r="F35" s="52">
        <v>39248</v>
      </c>
      <c r="G35" s="52"/>
      <c r="H35" s="52">
        <v>39248</v>
      </c>
      <c r="I35" s="36"/>
      <c r="J35" s="36"/>
      <c r="K35" s="32"/>
      <c r="L35" s="32"/>
      <c r="M35" s="29"/>
      <c r="N35" s="6"/>
    </row>
    <row r="36" spans="1:14" ht="15.75">
      <c r="A36" s="28"/>
      <c r="B36" s="29" t="s">
        <v>25</v>
      </c>
      <c r="C36" s="29"/>
      <c r="D36" s="36" t="s">
        <v>148</v>
      </c>
      <c r="E36" s="29"/>
      <c r="F36" s="36" t="s">
        <v>163</v>
      </c>
      <c r="G36" s="36"/>
      <c r="H36" s="36" t="s">
        <v>174</v>
      </c>
      <c r="I36" s="36"/>
      <c r="J36" s="36"/>
      <c r="K36" s="32"/>
      <c r="L36" s="32"/>
      <c r="M36" s="29"/>
      <c r="N36" s="6"/>
    </row>
    <row r="37" spans="1:14" ht="15.75">
      <c r="A37" s="28"/>
      <c r="B37" s="29"/>
      <c r="C37" s="29"/>
      <c r="D37" s="53"/>
      <c r="E37" s="53"/>
      <c r="F37" s="50"/>
      <c r="G37" s="53"/>
      <c r="H37" s="142"/>
      <c r="I37" s="53"/>
      <c r="J37" s="53"/>
      <c r="K37" s="53"/>
      <c r="L37" s="53"/>
      <c r="M37" s="29"/>
      <c r="N37" s="6"/>
    </row>
    <row r="38" spans="1:14" ht="15.75">
      <c r="A38" s="28"/>
      <c r="B38" s="29" t="s">
        <v>26</v>
      </c>
      <c r="C38" s="29"/>
      <c r="D38" s="29"/>
      <c r="E38" s="29"/>
      <c r="F38" s="50"/>
      <c r="G38" s="29"/>
      <c r="H38" s="50"/>
      <c r="I38" s="29"/>
      <c r="J38" s="29"/>
      <c r="K38" s="29"/>
      <c r="L38" s="51">
        <f>(H28+F28)/(D28)</f>
        <v>0.4084507042253521</v>
      </c>
      <c r="M38" s="29"/>
      <c r="N38" s="6"/>
    </row>
    <row r="39" spans="1:14" ht="15.75">
      <c r="A39" s="28"/>
      <c r="B39" s="29" t="s">
        <v>27</v>
      </c>
      <c r="C39" s="29"/>
      <c r="D39" s="50"/>
      <c r="E39" s="29"/>
      <c r="F39" s="50"/>
      <c r="G39" s="29"/>
      <c r="H39" s="50"/>
      <c r="I39" s="29"/>
      <c r="J39" s="29"/>
      <c r="K39" s="29"/>
      <c r="L39" s="51">
        <f>(H30+F30)/(D30)</f>
        <v>0.4084507042253521</v>
      </c>
      <c r="M39" s="29"/>
      <c r="N39" s="6"/>
    </row>
    <row r="40" spans="1:14" ht="15.75">
      <c r="A40" s="28"/>
      <c r="B40" s="29" t="s">
        <v>28</v>
      </c>
      <c r="C40" s="29"/>
      <c r="D40" s="29"/>
      <c r="E40" s="29"/>
      <c r="F40" s="50"/>
      <c r="G40" s="29"/>
      <c r="H40" s="50"/>
      <c r="I40" s="29"/>
      <c r="J40" s="36" t="s">
        <v>142</v>
      </c>
      <c r="K40" s="36" t="s">
        <v>185</v>
      </c>
      <c r="L40" s="37">
        <v>38766</v>
      </c>
      <c r="M40" s="29"/>
      <c r="N40" s="6"/>
    </row>
    <row r="41" spans="1:14" ht="15.75">
      <c r="A41" s="28"/>
      <c r="B41" s="29"/>
      <c r="C41" s="29"/>
      <c r="D41" s="50"/>
      <c r="E41" s="29"/>
      <c r="F41" s="50"/>
      <c r="G41" s="29"/>
      <c r="H41" s="29"/>
      <c r="I41" s="29"/>
      <c r="J41" s="29" t="s">
        <v>177</v>
      </c>
      <c r="K41" s="29"/>
      <c r="L41" s="54"/>
      <c r="M41" s="29"/>
      <c r="N41" s="6"/>
    </row>
    <row r="42" spans="1:14" ht="15.75">
      <c r="A42" s="28"/>
      <c r="B42" s="29" t="s">
        <v>29</v>
      </c>
      <c r="C42" s="29"/>
      <c r="D42" s="29"/>
      <c r="E42" s="29"/>
      <c r="F42" s="29"/>
      <c r="G42" s="29"/>
      <c r="H42" s="29"/>
      <c r="I42" s="29"/>
      <c r="J42" s="36"/>
      <c r="K42" s="36"/>
      <c r="L42" s="36" t="s">
        <v>187</v>
      </c>
      <c r="M42" s="29"/>
      <c r="N42" s="6"/>
    </row>
    <row r="43" spans="1:14" ht="15.75">
      <c r="A43" s="43"/>
      <c r="B43" s="33" t="s">
        <v>30</v>
      </c>
      <c r="C43" s="33"/>
      <c r="D43" s="33"/>
      <c r="E43" s="33"/>
      <c r="F43" s="33"/>
      <c r="G43" s="33"/>
      <c r="H43" s="33"/>
      <c r="I43" s="33"/>
      <c r="J43" s="55"/>
      <c r="K43" s="55"/>
      <c r="L43" s="56">
        <v>38245</v>
      </c>
      <c r="M43" s="33"/>
      <c r="N43" s="6"/>
    </row>
    <row r="44" spans="1:14" ht="15.75">
      <c r="A44" s="28"/>
      <c r="B44" s="29" t="s">
        <v>31</v>
      </c>
      <c r="C44" s="29"/>
      <c r="D44" s="29"/>
      <c r="E44" s="29"/>
      <c r="F44" s="29"/>
      <c r="G44" s="29"/>
      <c r="H44" s="32"/>
      <c r="I44" s="29">
        <f>L44-J44+1</f>
        <v>92</v>
      </c>
      <c r="J44" s="58">
        <v>38061</v>
      </c>
      <c r="K44" s="59"/>
      <c r="L44" s="58">
        <v>38152</v>
      </c>
      <c r="M44" s="29"/>
      <c r="N44" s="6"/>
    </row>
    <row r="45" spans="1:14" ht="15.75">
      <c r="A45" s="28"/>
      <c r="B45" s="29" t="s">
        <v>32</v>
      </c>
      <c r="C45" s="29"/>
      <c r="D45" s="29"/>
      <c r="E45" s="29"/>
      <c r="F45" s="29"/>
      <c r="G45" s="29"/>
      <c r="H45" s="32"/>
      <c r="I45" s="29">
        <f>L45-J45+1</f>
        <v>92</v>
      </c>
      <c r="J45" s="58">
        <v>38153</v>
      </c>
      <c r="K45" s="59"/>
      <c r="L45" s="58">
        <v>38244</v>
      </c>
      <c r="M45" s="29"/>
      <c r="N45" s="6"/>
    </row>
    <row r="46" spans="1:14" ht="15.75">
      <c r="A46" s="28"/>
      <c r="B46" s="29" t="s">
        <v>33</v>
      </c>
      <c r="C46" s="29"/>
      <c r="D46" s="29"/>
      <c r="E46" s="29"/>
      <c r="F46" s="29"/>
      <c r="G46" s="29"/>
      <c r="H46" s="29"/>
      <c r="I46" s="29"/>
      <c r="J46" s="58"/>
      <c r="K46" s="59"/>
      <c r="L46" s="58" t="s">
        <v>202</v>
      </c>
      <c r="M46" s="29"/>
      <c r="N46" s="6"/>
    </row>
    <row r="47" spans="1:14" ht="15.75">
      <c r="A47" s="28"/>
      <c r="B47" s="29" t="s">
        <v>34</v>
      </c>
      <c r="C47" s="29"/>
      <c r="D47" s="29"/>
      <c r="E47" s="29"/>
      <c r="F47" s="29"/>
      <c r="G47" s="29"/>
      <c r="H47" s="29"/>
      <c r="I47" s="29"/>
      <c r="J47" s="58"/>
      <c r="K47" s="59"/>
      <c r="L47" s="58">
        <v>38233</v>
      </c>
      <c r="M47" s="29"/>
      <c r="N47" s="6"/>
    </row>
    <row r="48" spans="1:14" ht="15.75">
      <c r="A48" s="28"/>
      <c r="B48" s="29"/>
      <c r="C48" s="29"/>
      <c r="D48" s="29"/>
      <c r="E48" s="29"/>
      <c r="F48" s="29"/>
      <c r="G48" s="29"/>
      <c r="H48" s="29"/>
      <c r="I48" s="29"/>
      <c r="J48" s="29"/>
      <c r="K48" s="29"/>
      <c r="L48" s="60"/>
      <c r="M48" s="29"/>
      <c r="N48" s="6"/>
    </row>
    <row r="49" spans="1:14" ht="15.75">
      <c r="A49" s="7"/>
      <c r="B49" s="9"/>
      <c r="C49" s="9"/>
      <c r="D49" s="9"/>
      <c r="E49" s="9"/>
      <c r="F49" s="9"/>
      <c r="G49" s="9"/>
      <c r="H49" s="9"/>
      <c r="I49" s="9"/>
      <c r="J49" s="9"/>
      <c r="K49" s="9"/>
      <c r="L49" s="61"/>
      <c r="M49" s="9"/>
      <c r="N49" s="6"/>
    </row>
    <row r="50" spans="1:14" ht="16.5" thickBot="1">
      <c r="A50" s="144"/>
      <c r="B50" s="145" t="s">
        <v>204</v>
      </c>
      <c r="C50" s="146"/>
      <c r="D50" s="146"/>
      <c r="E50" s="146"/>
      <c r="F50" s="146"/>
      <c r="G50" s="146"/>
      <c r="H50" s="146"/>
      <c r="I50" s="146"/>
      <c r="J50" s="146"/>
      <c r="K50" s="146"/>
      <c r="L50" s="147"/>
      <c r="M50" s="148"/>
      <c r="N50" s="6"/>
    </row>
    <row r="51" spans="1:14" ht="15.75">
      <c r="A51" s="2"/>
      <c r="B51" s="5"/>
      <c r="C51" s="5"/>
      <c r="D51" s="5"/>
      <c r="E51" s="5"/>
      <c r="F51" s="5"/>
      <c r="G51" s="5"/>
      <c r="H51" s="5"/>
      <c r="I51" s="5"/>
      <c r="J51" s="5"/>
      <c r="K51" s="5"/>
      <c r="L51" s="62"/>
      <c r="M51" s="5"/>
      <c r="N51" s="6"/>
    </row>
    <row r="52" spans="1:14" ht="15.75">
      <c r="A52" s="7"/>
      <c r="B52" s="63" t="s">
        <v>36</v>
      </c>
      <c r="C52" s="15"/>
      <c r="D52" s="9"/>
      <c r="E52" s="9"/>
      <c r="F52" s="9"/>
      <c r="G52" s="9"/>
      <c r="H52" s="9"/>
      <c r="I52" s="9"/>
      <c r="J52" s="9"/>
      <c r="K52" s="9"/>
      <c r="L52" s="64"/>
      <c r="M52" s="9"/>
      <c r="N52" s="6"/>
    </row>
    <row r="53" spans="1:14" ht="15.75">
      <c r="A53" s="7"/>
      <c r="B53" s="15"/>
      <c r="C53" s="15"/>
      <c r="D53" s="9"/>
      <c r="E53" s="9"/>
      <c r="F53" s="9"/>
      <c r="G53" s="9"/>
      <c r="H53" s="9"/>
      <c r="I53" s="9"/>
      <c r="J53" s="9"/>
      <c r="K53" s="9"/>
      <c r="L53" s="64"/>
      <c r="M53" s="9"/>
      <c r="N53" s="6"/>
    </row>
    <row r="54" spans="1:14" ht="47.25">
      <c r="A54" s="7"/>
      <c r="B54" s="65"/>
      <c r="C54" s="162" t="s">
        <v>139</v>
      </c>
      <c r="D54" s="162" t="s">
        <v>149</v>
      </c>
      <c r="E54" s="162"/>
      <c r="F54" s="162" t="s">
        <v>164</v>
      </c>
      <c r="G54" s="162"/>
      <c r="H54" s="162" t="s">
        <v>175</v>
      </c>
      <c r="I54" s="162"/>
      <c r="J54" s="162" t="s">
        <v>178</v>
      </c>
      <c r="K54" s="162"/>
      <c r="L54" s="163" t="s">
        <v>189</v>
      </c>
      <c r="M54" s="158"/>
      <c r="N54" s="6"/>
    </row>
    <row r="55" spans="1:14" ht="15.75">
      <c r="A55" s="28"/>
      <c r="B55" s="29" t="s">
        <v>37</v>
      </c>
      <c r="C55" s="66">
        <f>81776+9633</f>
        <v>91409</v>
      </c>
      <c r="D55" s="66">
        <v>54392</v>
      </c>
      <c r="E55" s="66"/>
      <c r="F55" s="66">
        <f>2221+1852+264+25+44+8</f>
        <v>4414</v>
      </c>
      <c r="G55" s="66"/>
      <c r="H55" s="66">
        <v>0</v>
      </c>
      <c r="I55" s="66"/>
      <c r="J55" s="66">
        <v>0</v>
      </c>
      <c r="K55" s="66"/>
      <c r="L55" s="67">
        <f>D55-F55+H55-J55</f>
        <v>49978</v>
      </c>
      <c r="M55" s="29"/>
      <c r="N55" s="6"/>
    </row>
    <row r="56" spans="1:14" ht="15.75">
      <c r="A56" s="28"/>
      <c r="B56" s="29" t="s">
        <v>38</v>
      </c>
      <c r="C56" s="66">
        <v>1</v>
      </c>
      <c r="D56" s="66">
        <v>0</v>
      </c>
      <c r="E56" s="66"/>
      <c r="F56" s="66"/>
      <c r="G56" s="66"/>
      <c r="H56" s="66">
        <v>0</v>
      </c>
      <c r="I56" s="66"/>
      <c r="J56" s="66">
        <v>0</v>
      </c>
      <c r="K56" s="66"/>
      <c r="L56" s="67">
        <f>D56-F56</f>
        <v>0</v>
      </c>
      <c r="M56" s="29"/>
      <c r="N56" s="6"/>
    </row>
    <row r="57" spans="1:14" ht="15.75">
      <c r="A57" s="28"/>
      <c r="B57" s="29"/>
      <c r="C57" s="66"/>
      <c r="D57" s="66"/>
      <c r="E57" s="66"/>
      <c r="F57" s="66"/>
      <c r="G57" s="66"/>
      <c r="H57" s="66"/>
      <c r="I57" s="66"/>
      <c r="J57" s="66"/>
      <c r="K57" s="66"/>
      <c r="L57" s="67"/>
      <c r="M57" s="29"/>
      <c r="N57" s="6"/>
    </row>
    <row r="58" spans="1:14" ht="15.75">
      <c r="A58" s="28"/>
      <c r="B58" s="29" t="s">
        <v>39</v>
      </c>
      <c r="C58" s="66">
        <f>59449+801</f>
        <v>60250</v>
      </c>
      <c r="D58" s="66">
        <v>18747</v>
      </c>
      <c r="E58" s="66"/>
      <c r="F58" s="66">
        <f>4419+10</f>
        <v>4429</v>
      </c>
      <c r="G58" s="66"/>
      <c r="H58" s="66">
        <v>0</v>
      </c>
      <c r="I58" s="66"/>
      <c r="J58" s="66">
        <f>SUM(J55:J57)</f>
        <v>0</v>
      </c>
      <c r="K58" s="66"/>
      <c r="L58" s="67">
        <f>D58-F58+H58-J58</f>
        <v>14318</v>
      </c>
      <c r="M58" s="29"/>
      <c r="N58" s="6"/>
    </row>
    <row r="59" spans="1:15" ht="15.75">
      <c r="A59" s="28"/>
      <c r="B59" s="29" t="s">
        <v>38</v>
      </c>
      <c r="C59" s="66">
        <v>136</v>
      </c>
      <c r="D59" s="66"/>
      <c r="E59" s="66"/>
      <c r="F59" s="66"/>
      <c r="G59" s="66"/>
      <c r="H59" s="66">
        <v>0</v>
      </c>
      <c r="I59" s="66"/>
      <c r="J59" s="66">
        <v>0</v>
      </c>
      <c r="K59" s="66"/>
      <c r="L59" s="68"/>
      <c r="M59" s="29"/>
      <c r="N59" s="6"/>
      <c r="O59" s="179"/>
    </row>
    <row r="60" spans="1:14" ht="15.75">
      <c r="A60" s="28"/>
      <c r="B60" s="69"/>
      <c r="C60" s="66"/>
      <c r="D60" s="66"/>
      <c r="E60" s="66"/>
      <c r="F60" s="70"/>
      <c r="G60" s="66"/>
      <c r="H60" s="66"/>
      <c r="I60" s="66"/>
      <c r="J60" s="66"/>
      <c r="K60" s="66"/>
      <c r="L60" s="68"/>
      <c r="M60" s="29"/>
      <c r="N60" s="6"/>
    </row>
    <row r="61" spans="1:14" ht="15.75">
      <c r="A61" s="28"/>
      <c r="B61" s="29" t="s">
        <v>40</v>
      </c>
      <c r="C61" s="66">
        <v>25730</v>
      </c>
      <c r="D61" s="66">
        <v>98890</v>
      </c>
      <c r="E61" s="66"/>
      <c r="F61" s="66">
        <f>16677+5+31</f>
        <v>16713</v>
      </c>
      <c r="G61" s="66"/>
      <c r="H61" s="66">
        <v>20753</v>
      </c>
      <c r="I61" s="66"/>
      <c r="J61" s="66">
        <v>0</v>
      </c>
      <c r="K61" s="66"/>
      <c r="L61" s="67">
        <f>D61-F61+H61-J61</f>
        <v>102930</v>
      </c>
      <c r="M61" s="29"/>
      <c r="N61" s="6"/>
    </row>
    <row r="62" spans="1:14" ht="15.75">
      <c r="A62" s="28"/>
      <c r="B62" s="29" t="s">
        <v>38</v>
      </c>
      <c r="C62" s="66">
        <v>260</v>
      </c>
      <c r="D62" s="67">
        <v>0</v>
      </c>
      <c r="E62" s="66"/>
      <c r="F62" s="66"/>
      <c r="G62" s="66"/>
      <c r="H62" s="66">
        <v>0</v>
      </c>
      <c r="I62" s="66"/>
      <c r="J62" s="66">
        <v>0</v>
      </c>
      <c r="K62" s="66"/>
      <c r="L62" s="67">
        <f>D62-F62+H62-J62</f>
        <v>0</v>
      </c>
      <c r="M62" s="29"/>
      <c r="N62" s="6"/>
    </row>
    <row r="63" spans="1:14" ht="15.75">
      <c r="A63" s="28"/>
      <c r="B63" s="29"/>
      <c r="C63" s="66"/>
      <c r="D63" s="67"/>
      <c r="E63" s="66"/>
      <c r="F63" s="66"/>
      <c r="G63" s="66"/>
      <c r="H63" s="66"/>
      <c r="I63" s="66"/>
      <c r="J63" s="66"/>
      <c r="K63" s="66"/>
      <c r="L63" s="67"/>
      <c r="M63" s="29"/>
      <c r="N63" s="6"/>
    </row>
    <row r="64" spans="1:14" ht="15.75">
      <c r="A64" s="28"/>
      <c r="B64" s="29" t="s">
        <v>41</v>
      </c>
      <c r="C64" s="66">
        <v>26410</v>
      </c>
      <c r="D64" s="67">
        <v>51491</v>
      </c>
      <c r="E64" s="66"/>
      <c r="F64" s="66">
        <f>9078+309+69</f>
        <v>9456</v>
      </c>
      <c r="G64" s="66"/>
      <c r="H64" s="66">
        <v>3611</v>
      </c>
      <c r="I64" s="66"/>
      <c r="J64" s="66">
        <v>0</v>
      </c>
      <c r="K64" s="66"/>
      <c r="L64" s="67">
        <f>D64-F64+H64-J64</f>
        <v>45646</v>
      </c>
      <c r="M64" s="29"/>
      <c r="N64" s="6"/>
    </row>
    <row r="65" spans="1:14" ht="15.75">
      <c r="A65" s="28"/>
      <c r="B65" s="29" t="s">
        <v>38</v>
      </c>
      <c r="C65" s="66">
        <v>229</v>
      </c>
      <c r="D65" s="67"/>
      <c r="E65" s="66"/>
      <c r="F65" s="66"/>
      <c r="G65" s="66"/>
      <c r="H65" s="66">
        <v>0</v>
      </c>
      <c r="I65" s="66"/>
      <c r="J65" s="66">
        <v>0</v>
      </c>
      <c r="K65" s="66"/>
      <c r="L65" s="67"/>
      <c r="M65" s="29"/>
      <c r="N65" s="6"/>
    </row>
    <row r="66" spans="1:14" ht="15.75">
      <c r="A66" s="28"/>
      <c r="B66" s="66"/>
      <c r="C66" s="66"/>
      <c r="D66" s="67"/>
      <c r="E66" s="66"/>
      <c r="F66" s="66"/>
      <c r="G66" s="66"/>
      <c r="H66" s="66"/>
      <c r="I66" s="66"/>
      <c r="J66" s="66"/>
      <c r="K66" s="66"/>
      <c r="L66" s="67"/>
      <c r="M66" s="29"/>
      <c r="N66" s="6"/>
    </row>
    <row r="67" spans="1:14" ht="15.75">
      <c r="A67" s="28"/>
      <c r="B67" s="29" t="s">
        <v>42</v>
      </c>
      <c r="C67" s="66">
        <f>SUM(C55:C65)</f>
        <v>204425</v>
      </c>
      <c r="D67" s="66">
        <f>SUM(D55:D64)</f>
        <v>223520</v>
      </c>
      <c r="E67" s="66"/>
      <c r="F67" s="66">
        <f>SUM(F55:F65)</f>
        <v>35012</v>
      </c>
      <c r="G67" s="66"/>
      <c r="H67" s="66">
        <f>SUM(H55:H65)</f>
        <v>24364</v>
      </c>
      <c r="I67" s="66"/>
      <c r="J67" s="66">
        <f>SUM(J62:J66)</f>
        <v>0</v>
      </c>
      <c r="K67" s="66"/>
      <c r="L67" s="66">
        <f>SUM(L55:L66)</f>
        <v>212872</v>
      </c>
      <c r="M67" s="29"/>
      <c r="N67" s="6"/>
    </row>
    <row r="68" spans="1:14" ht="15.75">
      <c r="A68" s="28"/>
      <c r="B68" s="29"/>
      <c r="C68" s="66"/>
      <c r="D68" s="68"/>
      <c r="E68" s="66"/>
      <c r="F68" s="66"/>
      <c r="G68" s="66"/>
      <c r="H68" s="66"/>
      <c r="I68" s="66"/>
      <c r="J68" s="66"/>
      <c r="K68" s="66"/>
      <c r="L68" s="68"/>
      <c r="M68" s="29"/>
      <c r="N68" s="6"/>
    </row>
    <row r="69" spans="1:14" ht="15.75">
      <c r="A69" s="28"/>
      <c r="B69" s="29" t="s">
        <v>43</v>
      </c>
      <c r="C69" s="66">
        <f>-1789-10434</f>
        <v>-12223</v>
      </c>
      <c r="D69" s="66">
        <v>-28427</v>
      </c>
      <c r="E69" s="66"/>
      <c r="F69" s="66">
        <v>492</v>
      </c>
      <c r="G69" s="66"/>
      <c r="H69" s="66"/>
      <c r="I69" s="66"/>
      <c r="J69" s="66"/>
      <c r="K69" s="66"/>
      <c r="L69" s="66">
        <f>D69-F69</f>
        <v>-28919</v>
      </c>
      <c r="M69" s="29"/>
      <c r="N69" s="6"/>
    </row>
    <row r="70" spans="1:15" ht="15.75">
      <c r="A70" s="28"/>
      <c r="B70" s="29" t="s">
        <v>44</v>
      </c>
      <c r="C70" s="66">
        <v>58798</v>
      </c>
      <c r="D70" s="68">
        <v>55907</v>
      </c>
      <c r="E70" s="66"/>
      <c r="F70" s="66">
        <f>SUM(F67:F69)</f>
        <v>35504</v>
      </c>
      <c r="G70" s="66"/>
      <c r="H70" s="66">
        <f>-H67</f>
        <v>-24364</v>
      </c>
      <c r="I70" s="66"/>
      <c r="J70" s="66"/>
      <c r="K70" s="66"/>
      <c r="L70" s="68">
        <f>D70+F70+H70+D73</f>
        <v>67047</v>
      </c>
      <c r="M70" s="29"/>
      <c r="N70" s="6"/>
      <c r="O70" s="72"/>
    </row>
    <row r="71" spans="1:14" ht="15.75">
      <c r="A71" s="28"/>
      <c r="B71" s="29" t="s">
        <v>45</v>
      </c>
      <c r="C71" s="66">
        <v>0</v>
      </c>
      <c r="D71" s="68">
        <v>0</v>
      </c>
      <c r="E71" s="66"/>
      <c r="F71" s="66"/>
      <c r="G71" s="66"/>
      <c r="H71" s="66">
        <v>0</v>
      </c>
      <c r="I71" s="66"/>
      <c r="J71" s="66"/>
      <c r="K71" s="66"/>
      <c r="L71" s="68">
        <f>H71+D71</f>
        <v>0</v>
      </c>
      <c r="M71" s="29"/>
      <c r="N71" s="6"/>
    </row>
    <row r="72" spans="1:14" ht="15.75">
      <c r="A72" s="28"/>
      <c r="B72" s="29" t="s">
        <v>46</v>
      </c>
      <c r="C72" s="66">
        <v>0</v>
      </c>
      <c r="D72" s="68">
        <v>0</v>
      </c>
      <c r="E72" s="66"/>
      <c r="F72" s="66">
        <v>0</v>
      </c>
      <c r="G72" s="66"/>
      <c r="H72" s="66"/>
      <c r="I72" s="66"/>
      <c r="J72" s="66"/>
      <c r="K72" s="66"/>
      <c r="L72" s="68">
        <f>D72+F72+H72</f>
        <v>0</v>
      </c>
      <c r="M72" s="29"/>
      <c r="N72" s="6"/>
    </row>
    <row r="73" spans="1:14" ht="15.75">
      <c r="A73" s="28"/>
      <c r="B73" s="29" t="s">
        <v>47</v>
      </c>
      <c r="C73" s="66">
        <v>0</v>
      </c>
      <c r="D73" s="68">
        <v>0</v>
      </c>
      <c r="E73" s="66"/>
      <c r="F73" s="66"/>
      <c r="G73" s="66"/>
      <c r="H73" s="156"/>
      <c r="I73" s="66"/>
      <c r="J73" s="66"/>
      <c r="K73" s="66"/>
      <c r="L73" s="68">
        <v>0</v>
      </c>
      <c r="M73" s="29"/>
      <c r="N73" s="6"/>
    </row>
    <row r="74" spans="1:14" ht="15.75">
      <c r="A74" s="28"/>
      <c r="B74" s="29" t="s">
        <v>19</v>
      </c>
      <c r="C74" s="68">
        <f>SUM(C67:C73)</f>
        <v>251000</v>
      </c>
      <c r="D74" s="68">
        <f>SUM(D67:D73)</f>
        <v>251000</v>
      </c>
      <c r="E74" s="66"/>
      <c r="F74" s="66">
        <f>F70-F73-F72</f>
        <v>35504</v>
      </c>
      <c r="G74" s="66"/>
      <c r="H74" s="66"/>
      <c r="I74" s="66"/>
      <c r="J74" s="66"/>
      <c r="K74" s="66"/>
      <c r="L74" s="68">
        <f>SUM(L67:L73)</f>
        <v>251000</v>
      </c>
      <c r="M74" s="29"/>
      <c r="N74" s="6"/>
    </row>
    <row r="75" spans="1:14" ht="15.75">
      <c r="A75" s="28"/>
      <c r="B75" s="66"/>
      <c r="C75" s="29"/>
      <c r="D75" s="29"/>
      <c r="E75" s="29"/>
      <c r="F75" s="29"/>
      <c r="G75" s="29"/>
      <c r="H75" s="29"/>
      <c r="I75" s="29"/>
      <c r="J75" s="36"/>
      <c r="K75" s="29"/>
      <c r="L75" s="36"/>
      <c r="M75" s="29"/>
      <c r="N75" s="6"/>
    </row>
    <row r="76" spans="1:14" ht="15.75">
      <c r="A76" s="7"/>
      <c r="B76" s="63" t="s">
        <v>48</v>
      </c>
      <c r="C76" s="16"/>
      <c r="D76" s="16"/>
      <c r="E76" s="16"/>
      <c r="F76" s="16"/>
      <c r="G76" s="16"/>
      <c r="H76" s="16"/>
      <c r="I76" s="19"/>
      <c r="J76" s="19"/>
      <c r="K76" s="19"/>
      <c r="L76" s="19" t="s">
        <v>190</v>
      </c>
      <c r="M76" s="16"/>
      <c r="N76" s="6"/>
    </row>
    <row r="77" spans="1:14" ht="15.75">
      <c r="A77" s="28"/>
      <c r="B77" s="29" t="s">
        <v>49</v>
      </c>
      <c r="C77" s="29"/>
      <c r="D77" s="29"/>
      <c r="E77" s="29"/>
      <c r="F77" s="29"/>
      <c r="G77" s="29"/>
      <c r="H77" s="29"/>
      <c r="I77" s="29"/>
      <c r="J77" s="66"/>
      <c r="K77" s="29"/>
      <c r="L77" s="67">
        <v>83204</v>
      </c>
      <c r="M77" s="29"/>
      <c r="N77" s="6"/>
    </row>
    <row r="78" spans="1:14" ht="15.75">
      <c r="A78" s="28"/>
      <c r="B78" s="29" t="s">
        <v>50</v>
      </c>
      <c r="C78" s="53"/>
      <c r="D78" s="57"/>
      <c r="E78" s="29"/>
      <c r="F78" s="29"/>
      <c r="G78" s="29"/>
      <c r="H78" s="29"/>
      <c r="I78" s="29"/>
      <c r="J78" s="66"/>
      <c r="K78" s="29"/>
      <c r="L78" s="67">
        <f>1053+68+1+320</f>
        <v>1442</v>
      </c>
      <c r="M78" s="29"/>
      <c r="N78" s="6"/>
    </row>
    <row r="79" spans="1:14" ht="15.75">
      <c r="A79" s="28"/>
      <c r="B79" s="29" t="s">
        <v>51</v>
      </c>
      <c r="C79" s="53"/>
      <c r="D79" s="57"/>
      <c r="E79" s="29"/>
      <c r="F79" s="29"/>
      <c r="G79" s="29"/>
      <c r="H79" s="29"/>
      <c r="I79" s="29"/>
      <c r="J79" s="66"/>
      <c r="K79" s="29"/>
      <c r="L79" s="67">
        <v>-10793</v>
      </c>
      <c r="M79" s="29"/>
      <c r="N79" s="6"/>
    </row>
    <row r="80" spans="1:14" ht="15.75">
      <c r="A80" s="28"/>
      <c r="B80" s="29" t="s">
        <v>192</v>
      </c>
      <c r="C80" s="53"/>
      <c r="D80" s="57"/>
      <c r="E80" s="29"/>
      <c r="F80" s="29"/>
      <c r="G80" s="29"/>
      <c r="H80" s="29"/>
      <c r="I80" s="29"/>
      <c r="J80" s="66"/>
      <c r="K80" s="29"/>
      <c r="L80" s="67">
        <v>-33</v>
      </c>
      <c r="M80" s="29"/>
      <c r="N80" s="6"/>
    </row>
    <row r="81" spans="1:14" ht="15.75">
      <c r="A81" s="28"/>
      <c r="B81" s="29" t="s">
        <v>205</v>
      </c>
      <c r="C81" s="29"/>
      <c r="D81" s="29"/>
      <c r="E81" s="29"/>
      <c r="F81" s="29"/>
      <c r="G81" s="29"/>
      <c r="H81" s="29"/>
      <c r="I81" s="29"/>
      <c r="J81" s="66"/>
      <c r="K81" s="29"/>
      <c r="L81" s="67">
        <v>92</v>
      </c>
      <c r="M81" s="29"/>
      <c r="N81" s="6"/>
    </row>
    <row r="82" spans="1:14" ht="15.75">
      <c r="A82" s="28"/>
      <c r="B82" s="29" t="s">
        <v>53</v>
      </c>
      <c r="C82" s="29"/>
      <c r="D82" s="29"/>
      <c r="E82" s="29"/>
      <c r="F82" s="29"/>
      <c r="G82" s="29"/>
      <c r="H82" s="29"/>
      <c r="I82" s="29"/>
      <c r="J82" s="66"/>
      <c r="K82" s="29"/>
      <c r="L82" s="67">
        <f>SUM(L77:L81)</f>
        <v>73912</v>
      </c>
      <c r="M82" s="29"/>
      <c r="N82" s="6"/>
    </row>
    <row r="83" spans="1:14" ht="15.75">
      <c r="A83" s="28"/>
      <c r="B83" s="29"/>
      <c r="C83" s="29"/>
      <c r="D83" s="29"/>
      <c r="E83" s="29"/>
      <c r="F83" s="29"/>
      <c r="G83" s="29"/>
      <c r="H83" s="29"/>
      <c r="I83" s="29"/>
      <c r="J83" s="66"/>
      <c r="K83" s="29"/>
      <c r="L83" s="68"/>
      <c r="M83" s="29"/>
      <c r="N83" s="6"/>
    </row>
    <row r="84" spans="1:14" ht="15.75">
      <c r="A84" s="28"/>
      <c r="B84" s="164" t="s">
        <v>54</v>
      </c>
      <c r="C84" s="73"/>
      <c r="D84" s="29"/>
      <c r="E84" s="29"/>
      <c r="F84" s="29"/>
      <c r="G84" s="29"/>
      <c r="H84" s="29"/>
      <c r="I84" s="29"/>
      <c r="J84" s="66"/>
      <c r="K84" s="29"/>
      <c r="L84" s="67"/>
      <c r="M84" s="29"/>
      <c r="N84" s="6"/>
    </row>
    <row r="85" spans="1:14" ht="15.75">
      <c r="A85" s="28">
        <v>1</v>
      </c>
      <c r="B85" s="29" t="s">
        <v>55</v>
      </c>
      <c r="C85" s="29"/>
      <c r="D85" s="29"/>
      <c r="E85" s="29"/>
      <c r="F85" s="29"/>
      <c r="G85" s="29"/>
      <c r="H85" s="29"/>
      <c r="I85" s="29"/>
      <c r="J85" s="29"/>
      <c r="K85" s="29"/>
      <c r="L85" s="67">
        <v>-4</v>
      </c>
      <c r="M85" s="29"/>
      <c r="N85" s="6"/>
    </row>
    <row r="86" spans="1:14" ht="15.75">
      <c r="A86" s="28">
        <f aca="true" t="shared" si="0" ref="A86:A94">A85+1</f>
        <v>2</v>
      </c>
      <c r="B86" s="29" t="s">
        <v>56</v>
      </c>
      <c r="C86" s="29"/>
      <c r="D86" s="29"/>
      <c r="E86" s="29"/>
      <c r="F86" s="29"/>
      <c r="G86" s="29"/>
      <c r="H86" s="29"/>
      <c r="I86" s="29"/>
      <c r="J86" s="29"/>
      <c r="K86" s="29"/>
      <c r="L86" s="67">
        <f>-482-83</f>
        <v>-565</v>
      </c>
      <c r="M86" s="29"/>
      <c r="N86" s="6"/>
    </row>
    <row r="87" spans="1:14" ht="15.75">
      <c r="A87" s="28">
        <f t="shared" si="0"/>
        <v>3</v>
      </c>
      <c r="B87" s="29" t="s">
        <v>57</v>
      </c>
      <c r="C87" s="29"/>
      <c r="D87" s="29"/>
      <c r="E87" s="29"/>
      <c r="F87" s="29"/>
      <c r="G87" s="29"/>
      <c r="H87" s="29"/>
      <c r="I87" s="29"/>
      <c r="J87" s="29"/>
      <c r="K87" s="29"/>
      <c r="L87" s="67">
        <v>-41</v>
      </c>
      <c r="M87" s="29"/>
      <c r="N87" s="6"/>
    </row>
    <row r="88" spans="1:14" ht="15.75">
      <c r="A88" s="28">
        <f t="shared" si="0"/>
        <v>4</v>
      </c>
      <c r="B88" s="29" t="s">
        <v>58</v>
      </c>
      <c r="C88" s="29"/>
      <c r="D88" s="29"/>
      <c r="E88" s="29"/>
      <c r="F88" s="29"/>
      <c r="G88" s="29"/>
      <c r="H88" s="29"/>
      <c r="I88" s="29"/>
      <c r="J88" s="29"/>
      <c r="K88" s="29"/>
      <c r="L88" s="67">
        <v>-2291</v>
      </c>
      <c r="M88" s="29"/>
      <c r="N88" s="6"/>
    </row>
    <row r="89" spans="1:14" ht="15.75">
      <c r="A89" s="28">
        <f t="shared" si="0"/>
        <v>5</v>
      </c>
      <c r="B89" s="29" t="s">
        <v>59</v>
      </c>
      <c r="C89" s="29"/>
      <c r="D89" s="29"/>
      <c r="E89" s="29"/>
      <c r="F89" s="29"/>
      <c r="G89" s="29"/>
      <c r="H89" s="29"/>
      <c r="I89" s="29"/>
      <c r="J89" s="29"/>
      <c r="K89" s="29"/>
      <c r="L89" s="67">
        <v>-5</v>
      </c>
      <c r="M89" s="29"/>
      <c r="N89" s="6"/>
    </row>
    <row r="90" spans="1:14" ht="15.75">
      <c r="A90" s="28">
        <f t="shared" si="0"/>
        <v>6</v>
      </c>
      <c r="B90" s="29" t="s">
        <v>60</v>
      </c>
      <c r="C90" s="29"/>
      <c r="D90" s="29"/>
      <c r="E90" s="29"/>
      <c r="F90" s="29"/>
      <c r="G90" s="29"/>
      <c r="H90" s="29"/>
      <c r="I90" s="29"/>
      <c r="J90" s="29"/>
      <c r="K90" s="29"/>
      <c r="L90" s="67">
        <v>-734</v>
      </c>
      <c r="M90" s="29"/>
      <c r="N90" s="6"/>
    </row>
    <row r="91" spans="1:14" ht="15.75">
      <c r="A91" s="28">
        <f t="shared" si="0"/>
        <v>7</v>
      </c>
      <c r="B91" s="29" t="s">
        <v>61</v>
      </c>
      <c r="C91" s="29"/>
      <c r="D91" s="29"/>
      <c r="E91" s="29"/>
      <c r="F91" s="29"/>
      <c r="G91" s="29"/>
      <c r="H91" s="29"/>
      <c r="I91" s="29"/>
      <c r="J91" s="29"/>
      <c r="K91" s="29"/>
      <c r="L91" s="67">
        <v>-379</v>
      </c>
      <c r="M91" s="29"/>
      <c r="N91" s="6"/>
    </row>
    <row r="92" spans="1:14" ht="15.75">
      <c r="A92" s="28">
        <f t="shared" si="0"/>
        <v>8</v>
      </c>
      <c r="B92" s="29" t="s">
        <v>62</v>
      </c>
      <c r="C92" s="29"/>
      <c r="D92" s="29"/>
      <c r="E92" s="29"/>
      <c r="F92" s="29"/>
      <c r="G92" s="29"/>
      <c r="H92" s="29"/>
      <c r="I92" s="29"/>
      <c r="J92" s="29"/>
      <c r="K92" s="29"/>
      <c r="L92" s="67">
        <v>0</v>
      </c>
      <c r="M92" s="29"/>
      <c r="N92" s="6"/>
    </row>
    <row r="93" spans="1:14" ht="15.75">
      <c r="A93" s="28">
        <f t="shared" si="0"/>
        <v>9</v>
      </c>
      <c r="B93" s="29" t="s">
        <v>44</v>
      </c>
      <c r="C93" s="29"/>
      <c r="D93" s="29"/>
      <c r="E93" s="29"/>
      <c r="F93" s="29"/>
      <c r="G93" s="29"/>
      <c r="H93" s="29"/>
      <c r="I93" s="29"/>
      <c r="J93" s="66"/>
      <c r="K93" s="29"/>
      <c r="L93" s="67">
        <f>L82+SUM(L85:L91)-L94</f>
        <v>67053</v>
      </c>
      <c r="M93" s="29"/>
      <c r="N93" s="6"/>
    </row>
    <row r="94" spans="1:15" ht="15.75">
      <c r="A94" s="28">
        <f t="shared" si="0"/>
        <v>10</v>
      </c>
      <c r="B94" s="29" t="s">
        <v>63</v>
      </c>
      <c r="C94" s="29"/>
      <c r="D94" s="29"/>
      <c r="E94" s="29"/>
      <c r="F94" s="29"/>
      <c r="G94" s="29"/>
      <c r="H94" s="29"/>
      <c r="I94" s="29"/>
      <c r="J94" s="29"/>
      <c r="K94" s="29"/>
      <c r="L94" s="67">
        <f>J195+SUM(L82:L91)+J197-J200</f>
        <v>2840</v>
      </c>
      <c r="M94" s="29"/>
      <c r="N94" s="6"/>
      <c r="O94" s="72"/>
    </row>
    <row r="95" spans="1:14" ht="15.75">
      <c r="A95" s="28"/>
      <c r="B95" s="32"/>
      <c r="C95" s="29"/>
      <c r="D95" s="29"/>
      <c r="E95" s="29"/>
      <c r="F95" s="29"/>
      <c r="G95" s="29"/>
      <c r="H95" s="29"/>
      <c r="I95" s="29"/>
      <c r="J95" s="66"/>
      <c r="K95" s="66"/>
      <c r="L95" s="66"/>
      <c r="M95" s="29"/>
      <c r="N95" s="6"/>
    </row>
    <row r="96" spans="1:14" ht="15.75">
      <c r="A96" s="7"/>
      <c r="B96" s="14"/>
      <c r="C96" s="9"/>
      <c r="D96" s="9"/>
      <c r="E96" s="9"/>
      <c r="F96" s="9"/>
      <c r="G96" s="9"/>
      <c r="H96" s="9"/>
      <c r="I96" s="9"/>
      <c r="J96" s="74"/>
      <c r="K96" s="74"/>
      <c r="L96" s="74"/>
      <c r="M96" s="9"/>
      <c r="N96" s="6"/>
    </row>
    <row r="97" spans="1:14" ht="16.5" thickBot="1">
      <c r="A97" s="144"/>
      <c r="B97" s="145" t="str">
        <f>+B50</f>
        <v>PPAF1 INVESTOR REPORT QUARTER ENDING AUGUST 2004</v>
      </c>
      <c r="C97" s="146"/>
      <c r="D97" s="146"/>
      <c r="E97" s="146"/>
      <c r="F97" s="146"/>
      <c r="G97" s="146"/>
      <c r="H97" s="146"/>
      <c r="I97" s="146"/>
      <c r="J97" s="149"/>
      <c r="K97" s="149"/>
      <c r="L97" s="149"/>
      <c r="M97" s="148"/>
      <c r="N97" s="6"/>
    </row>
    <row r="98" spans="1:14" ht="15.75">
      <c r="A98" s="2"/>
      <c r="B98" s="5"/>
      <c r="C98" s="5"/>
      <c r="D98" s="5"/>
      <c r="E98" s="5"/>
      <c r="F98" s="5"/>
      <c r="G98" s="5"/>
      <c r="H98" s="5"/>
      <c r="I98" s="5"/>
      <c r="J98" s="75"/>
      <c r="K98" s="75"/>
      <c r="L98" s="75"/>
      <c r="M98" s="5"/>
      <c r="N98" s="6"/>
    </row>
    <row r="99" spans="1:14" ht="15.75">
      <c r="A99" s="76"/>
      <c r="B99" s="77" t="s">
        <v>64</v>
      </c>
      <c r="C99" s="78"/>
      <c r="D99" s="78"/>
      <c r="E99" s="78"/>
      <c r="F99" s="78"/>
      <c r="G99" s="78"/>
      <c r="H99" s="78"/>
      <c r="I99" s="78"/>
      <c r="J99" s="78"/>
      <c r="K99" s="78"/>
      <c r="L99" s="79"/>
      <c r="M99" s="80"/>
      <c r="N99" s="6"/>
    </row>
    <row r="100" spans="1:14" ht="15.75">
      <c r="A100" s="76"/>
      <c r="B100" s="78"/>
      <c r="C100" s="78"/>
      <c r="D100" s="78"/>
      <c r="E100" s="78"/>
      <c r="F100" s="78"/>
      <c r="G100" s="78"/>
      <c r="H100" s="78"/>
      <c r="I100" s="78"/>
      <c r="J100" s="78"/>
      <c r="K100" s="78"/>
      <c r="L100" s="79"/>
      <c r="M100" s="78"/>
      <c r="N100" s="6"/>
    </row>
    <row r="101" spans="1:14" ht="15.75">
      <c r="A101" s="7"/>
      <c r="B101" s="165" t="s">
        <v>65</v>
      </c>
      <c r="C101" s="15"/>
      <c r="D101" s="9"/>
      <c r="E101" s="9"/>
      <c r="F101" s="9"/>
      <c r="G101" s="9"/>
      <c r="H101" s="9"/>
      <c r="I101" s="9"/>
      <c r="J101" s="9"/>
      <c r="K101" s="9"/>
      <c r="L101" s="64"/>
      <c r="M101" s="9"/>
      <c r="N101" s="6"/>
    </row>
    <row r="102" spans="1:14" ht="15.75">
      <c r="A102" s="28"/>
      <c r="B102" s="29" t="s">
        <v>66</v>
      </c>
      <c r="C102" s="29"/>
      <c r="D102" s="29"/>
      <c r="E102" s="29"/>
      <c r="F102" s="29"/>
      <c r="G102" s="29"/>
      <c r="H102" s="29"/>
      <c r="I102" s="29"/>
      <c r="J102" s="29"/>
      <c r="K102" s="29"/>
      <c r="L102" s="67">
        <f>10793+400</f>
        <v>11193</v>
      </c>
      <c r="M102" s="29"/>
      <c r="N102" s="6"/>
    </row>
    <row r="103" spans="1:14" ht="15.75">
      <c r="A103" s="28"/>
      <c r="B103" s="29" t="s">
        <v>67</v>
      </c>
      <c r="C103" s="29"/>
      <c r="D103" s="29"/>
      <c r="E103" s="29"/>
      <c r="F103" s="29"/>
      <c r="G103" s="29"/>
      <c r="H103" s="29"/>
      <c r="I103" s="29"/>
      <c r="J103" s="29"/>
      <c r="K103" s="29"/>
      <c r="L103" s="67">
        <v>10793</v>
      </c>
      <c r="M103" s="29"/>
      <c r="N103" s="6"/>
    </row>
    <row r="104" spans="1:14" ht="15.75">
      <c r="A104" s="28"/>
      <c r="B104" s="29" t="s">
        <v>68</v>
      </c>
      <c r="C104" s="29"/>
      <c r="D104" s="29"/>
      <c r="E104" s="29"/>
      <c r="F104" s="29"/>
      <c r="G104" s="29"/>
      <c r="H104" s="29"/>
      <c r="I104" s="29"/>
      <c r="J104" s="29"/>
      <c r="K104" s="29"/>
      <c r="L104" s="67">
        <v>0</v>
      </c>
      <c r="M104" s="29"/>
      <c r="N104" s="6"/>
    </row>
    <row r="105" spans="1:14" ht="15.75">
      <c r="A105" s="28"/>
      <c r="B105" s="29" t="s">
        <v>69</v>
      </c>
      <c r="C105" s="29"/>
      <c r="D105" s="29"/>
      <c r="E105" s="29"/>
      <c r="F105" s="29"/>
      <c r="G105" s="29"/>
      <c r="H105" s="29"/>
      <c r="I105" s="29"/>
      <c r="J105" s="29"/>
      <c r="K105" s="29"/>
      <c r="L105" s="67">
        <v>0</v>
      </c>
      <c r="M105" s="29"/>
      <c r="N105" s="6"/>
    </row>
    <row r="106" spans="1:14" ht="15.75">
      <c r="A106" s="28"/>
      <c r="B106" s="29" t="s">
        <v>70</v>
      </c>
      <c r="C106" s="29"/>
      <c r="D106" s="29"/>
      <c r="E106" s="29"/>
      <c r="F106" s="29"/>
      <c r="G106" s="29"/>
      <c r="H106" s="29"/>
      <c r="I106" s="29"/>
      <c r="J106" s="29"/>
      <c r="K106" s="29"/>
      <c r="L106" s="67">
        <v>0</v>
      </c>
      <c r="M106" s="29"/>
      <c r="N106" s="6"/>
    </row>
    <row r="107" spans="1:14" ht="15.75">
      <c r="A107" s="28"/>
      <c r="B107" s="29" t="s">
        <v>58</v>
      </c>
      <c r="C107" s="29"/>
      <c r="D107" s="29"/>
      <c r="E107" s="29"/>
      <c r="F107" s="29"/>
      <c r="G107" s="29"/>
      <c r="H107" s="29"/>
      <c r="I107" s="29"/>
      <c r="J107" s="29"/>
      <c r="K107" s="29"/>
      <c r="L107" s="67">
        <v>0</v>
      </c>
      <c r="M107" s="29"/>
      <c r="N107" s="6"/>
    </row>
    <row r="108" spans="1:14" ht="15.75">
      <c r="A108" s="28"/>
      <c r="B108" s="29" t="s">
        <v>60</v>
      </c>
      <c r="C108" s="29"/>
      <c r="D108" s="29"/>
      <c r="E108" s="29"/>
      <c r="F108" s="29"/>
      <c r="G108" s="29"/>
      <c r="H108" s="29"/>
      <c r="I108" s="29"/>
      <c r="J108" s="29"/>
      <c r="K108" s="29"/>
      <c r="L108" s="67">
        <v>0</v>
      </c>
      <c r="M108" s="29"/>
      <c r="N108" s="6"/>
    </row>
    <row r="109" spans="1:14" ht="15.75">
      <c r="A109" s="28"/>
      <c r="B109" s="29" t="s">
        <v>61</v>
      </c>
      <c r="C109" s="29"/>
      <c r="D109" s="29"/>
      <c r="E109" s="29"/>
      <c r="F109" s="29"/>
      <c r="G109" s="29"/>
      <c r="H109" s="29"/>
      <c r="I109" s="29"/>
      <c r="J109" s="29"/>
      <c r="K109" s="29"/>
      <c r="L109" s="67">
        <v>0</v>
      </c>
      <c r="M109" s="29"/>
      <c r="N109" s="6"/>
    </row>
    <row r="110" spans="1:14" ht="15.75">
      <c r="A110" s="28"/>
      <c r="B110" s="29" t="s">
        <v>71</v>
      </c>
      <c r="C110" s="29"/>
      <c r="D110" s="29"/>
      <c r="E110" s="29"/>
      <c r="F110" s="29"/>
      <c r="G110" s="29"/>
      <c r="H110" s="29"/>
      <c r="I110" s="29"/>
      <c r="J110" s="29"/>
      <c r="K110" s="29"/>
      <c r="L110" s="67">
        <f>L103</f>
        <v>10793</v>
      </c>
      <c r="M110" s="29"/>
      <c r="N110" s="6"/>
    </row>
    <row r="111" spans="1:14" ht="15.75">
      <c r="A111" s="28"/>
      <c r="B111" s="29"/>
      <c r="C111" s="29"/>
      <c r="D111" s="29"/>
      <c r="E111" s="29"/>
      <c r="F111" s="29"/>
      <c r="G111" s="29"/>
      <c r="H111" s="29"/>
      <c r="I111" s="29"/>
      <c r="J111" s="29"/>
      <c r="K111" s="29"/>
      <c r="L111" s="81"/>
      <c r="M111" s="29"/>
      <c r="N111" s="6"/>
    </row>
    <row r="112" spans="1:14" ht="15.75">
      <c r="A112" s="7"/>
      <c r="B112" s="165" t="s">
        <v>72</v>
      </c>
      <c r="C112" s="15"/>
      <c r="D112" s="9"/>
      <c r="E112" s="9"/>
      <c r="F112" s="9"/>
      <c r="G112" s="157"/>
      <c r="H112" s="9"/>
      <c r="I112" s="9"/>
      <c r="J112" s="9"/>
      <c r="K112" s="9"/>
      <c r="L112" s="83"/>
      <c r="M112" s="9"/>
      <c r="N112" s="6"/>
    </row>
    <row r="113" spans="1:14" ht="15.75">
      <c r="A113" s="7"/>
      <c r="B113" s="15"/>
      <c r="C113" s="19" t="s">
        <v>140</v>
      </c>
      <c r="D113" s="19" t="s">
        <v>150</v>
      </c>
      <c r="E113" s="19" t="s">
        <v>156</v>
      </c>
      <c r="F113" s="19" t="s">
        <v>165</v>
      </c>
      <c r="G113" s="157"/>
      <c r="H113" s="157"/>
      <c r="I113" s="9"/>
      <c r="J113" s="9"/>
      <c r="K113" s="9"/>
      <c r="L113" s="83"/>
      <c r="M113" s="9"/>
      <c r="N113" s="6"/>
    </row>
    <row r="114" spans="1:14" ht="15.75">
      <c r="A114" s="28"/>
      <c r="B114" s="29" t="s">
        <v>73</v>
      </c>
      <c r="C114" s="66">
        <f>E178-'May 04'!E178</f>
        <v>276</v>
      </c>
      <c r="D114" s="66">
        <f>J178-'May 04'!J178</f>
        <v>148</v>
      </c>
      <c r="E114" s="66">
        <f>E188-'May 04'!E188</f>
        <v>67</v>
      </c>
      <c r="F114" s="66">
        <f>J188-'May 04'!J188</f>
        <v>1</v>
      </c>
      <c r="G114" s="156"/>
      <c r="H114" s="156"/>
      <c r="I114" s="29"/>
      <c r="J114" s="29"/>
      <c r="K114" s="29"/>
      <c r="L114" s="67">
        <f>SUM(C114:F114)</f>
        <v>492</v>
      </c>
      <c r="M114" s="29"/>
      <c r="N114" s="6"/>
    </row>
    <row r="115" spans="1:14" ht="15.75">
      <c r="A115" s="28"/>
      <c r="B115" s="29" t="s">
        <v>74</v>
      </c>
      <c r="C115" s="29">
        <f>290+51</f>
        <v>341</v>
      </c>
      <c r="D115" s="29">
        <v>10</v>
      </c>
      <c r="E115" s="29">
        <f>5+31</f>
        <v>36</v>
      </c>
      <c r="F115" s="29">
        <f>309+69</f>
        <v>378</v>
      </c>
      <c r="G115" s="156"/>
      <c r="H115" s="156"/>
      <c r="I115" s="29"/>
      <c r="J115" s="29"/>
      <c r="K115" s="29"/>
      <c r="L115" s="67">
        <f>SUM(C115:F115)</f>
        <v>765</v>
      </c>
      <c r="M115" s="29"/>
      <c r="N115" s="6"/>
    </row>
    <row r="116" spans="1:14" ht="15.75">
      <c r="A116" s="28"/>
      <c r="B116" s="29" t="s">
        <v>75</v>
      </c>
      <c r="C116" s="29"/>
      <c r="D116" s="29"/>
      <c r="E116" s="29"/>
      <c r="F116" s="29"/>
      <c r="G116" s="29"/>
      <c r="H116" s="29"/>
      <c r="I116" s="29"/>
      <c r="J116" s="29"/>
      <c r="K116" s="29"/>
      <c r="L116" s="67">
        <f>SUM(L114:L115)</f>
        <v>1257</v>
      </c>
      <c r="M116" s="29"/>
      <c r="N116" s="6"/>
    </row>
    <row r="117" spans="1:14" ht="15.75">
      <c r="A117" s="28"/>
      <c r="B117" s="29" t="s">
        <v>76</v>
      </c>
      <c r="C117" s="66">
        <v>112</v>
      </c>
      <c r="D117" s="29"/>
      <c r="E117" s="29"/>
      <c r="F117" s="29"/>
      <c r="G117" s="29"/>
      <c r="H117" s="29"/>
      <c r="I117" s="29"/>
      <c r="J117" s="29"/>
      <c r="K117" s="29"/>
      <c r="L117" s="85"/>
      <c r="M117" s="29"/>
      <c r="N117" s="6"/>
    </row>
    <row r="118" spans="1:14" ht="15.75">
      <c r="A118" s="7"/>
      <c r="B118" s="165" t="s">
        <v>77</v>
      </c>
      <c r="C118" s="15"/>
      <c r="D118" s="9"/>
      <c r="E118" s="9"/>
      <c r="F118" s="9"/>
      <c r="G118" s="9"/>
      <c r="H118" s="9"/>
      <c r="I118" s="9"/>
      <c r="J118" s="9"/>
      <c r="K118" s="9"/>
      <c r="L118" s="64"/>
      <c r="M118" s="9"/>
      <c r="N118" s="6"/>
    </row>
    <row r="119" spans="1:14" ht="15.75">
      <c r="A119" s="28"/>
      <c r="B119" s="29" t="s">
        <v>78</v>
      </c>
      <c r="C119" s="143"/>
      <c r="D119" s="143"/>
      <c r="E119" s="143"/>
      <c r="F119" s="143"/>
      <c r="G119" s="29"/>
      <c r="H119" s="29"/>
      <c r="I119" s="29"/>
      <c r="J119" s="29"/>
      <c r="K119" s="29"/>
      <c r="L119" s="67">
        <f>L67</f>
        <v>212872</v>
      </c>
      <c r="M119" s="29"/>
      <c r="N119" s="6"/>
    </row>
    <row r="120" spans="1:14" ht="15.75">
      <c r="A120" s="28"/>
      <c r="B120" s="29" t="s">
        <v>79</v>
      </c>
      <c r="C120" s="86"/>
      <c r="D120" s="29"/>
      <c r="E120" s="29"/>
      <c r="F120" s="29"/>
      <c r="G120" s="29"/>
      <c r="H120" s="29"/>
      <c r="I120" s="29"/>
      <c r="J120" s="29"/>
      <c r="K120" s="29"/>
      <c r="L120" s="67">
        <f>L70</f>
        <v>67047</v>
      </c>
      <c r="M120" s="29"/>
      <c r="N120" s="6"/>
    </row>
    <row r="121" spans="1:15" ht="15.75">
      <c r="A121" s="28"/>
      <c r="B121" s="29" t="s">
        <v>80</v>
      </c>
      <c r="C121" s="86"/>
      <c r="D121" s="29"/>
      <c r="E121" s="29"/>
      <c r="F121" s="29"/>
      <c r="G121" s="29"/>
      <c r="H121" s="29"/>
      <c r="I121" s="29"/>
      <c r="J121" s="29"/>
      <c r="K121" s="29"/>
      <c r="L121" s="67">
        <f>L120+L119+L72+L73</f>
        <v>279919</v>
      </c>
      <c r="M121" s="29"/>
      <c r="N121" s="6"/>
      <c r="O121" s="72"/>
    </row>
    <row r="122" spans="1:15" ht="15.75">
      <c r="A122" s="28"/>
      <c r="B122" s="29" t="s">
        <v>81</v>
      </c>
      <c r="C122" s="86"/>
      <c r="D122" s="29"/>
      <c r="E122" s="29"/>
      <c r="F122" s="29"/>
      <c r="G122" s="29"/>
      <c r="H122" s="29"/>
      <c r="I122" s="29"/>
      <c r="J122" s="29"/>
      <c r="K122" s="29"/>
      <c r="L122" s="67">
        <f>L74</f>
        <v>251000</v>
      </c>
      <c r="M122" s="29"/>
      <c r="N122" s="6"/>
      <c r="O122" s="72"/>
    </row>
    <row r="123" spans="1:14" ht="15.75">
      <c r="A123" s="28"/>
      <c r="B123" s="29"/>
      <c r="C123" s="29"/>
      <c r="D123" s="29"/>
      <c r="E123" s="29"/>
      <c r="F123" s="29"/>
      <c r="G123" s="29"/>
      <c r="H123" s="29"/>
      <c r="I123" s="29"/>
      <c r="J123" s="29"/>
      <c r="K123" s="29"/>
      <c r="L123" s="85"/>
      <c r="M123" s="29"/>
      <c r="N123" s="6"/>
    </row>
    <row r="124" spans="1:14" ht="15.75">
      <c r="A124" s="7"/>
      <c r="B124" s="165" t="s">
        <v>82</v>
      </c>
      <c r="C124" s="158"/>
      <c r="D124" s="158"/>
      <c r="E124" s="158"/>
      <c r="F124" s="158"/>
      <c r="G124" s="158"/>
      <c r="H124" s="159" t="s">
        <v>176</v>
      </c>
      <c r="I124" s="166"/>
      <c r="J124" s="159" t="s">
        <v>179</v>
      </c>
      <c r="K124" s="158"/>
      <c r="L124" s="167" t="s">
        <v>131</v>
      </c>
      <c r="M124" s="177"/>
      <c r="N124" s="6"/>
    </row>
    <row r="125" spans="1:14" ht="15.75">
      <c r="A125" s="28"/>
      <c r="B125" s="29" t="s">
        <v>83</v>
      </c>
      <c r="C125" s="29"/>
      <c r="D125" s="29"/>
      <c r="E125" s="29"/>
      <c r="F125" s="29"/>
      <c r="G125" s="29"/>
      <c r="H125" s="67">
        <v>0</v>
      </c>
      <c r="I125" s="29"/>
      <c r="J125" s="89" t="s">
        <v>180</v>
      </c>
      <c r="K125" s="29"/>
      <c r="L125" s="67">
        <f>H125</f>
        <v>0</v>
      </c>
      <c r="M125" s="29"/>
      <c r="N125" s="6"/>
    </row>
    <row r="126" spans="1:14" ht="15.75">
      <c r="A126" s="28"/>
      <c r="B126" s="29" t="s">
        <v>84</v>
      </c>
      <c r="C126" s="29"/>
      <c r="D126" s="29"/>
      <c r="E126" s="29"/>
      <c r="F126" s="29"/>
      <c r="G126" s="29"/>
      <c r="H126" s="67">
        <f>+'May 04'!H128</f>
        <v>402</v>
      </c>
      <c r="I126" s="29"/>
      <c r="J126" s="89" t="s">
        <v>180</v>
      </c>
      <c r="K126" s="29"/>
      <c r="L126" s="67">
        <f>H126</f>
        <v>402</v>
      </c>
      <c r="M126" s="29"/>
      <c r="N126" s="6"/>
    </row>
    <row r="127" spans="1:14" ht="15.75">
      <c r="A127" s="28"/>
      <c r="B127" s="29" t="s">
        <v>85</v>
      </c>
      <c r="C127" s="29"/>
      <c r="D127" s="29"/>
      <c r="E127" s="29"/>
      <c r="F127" s="29"/>
      <c r="G127" s="29"/>
      <c r="H127" s="67">
        <v>183</v>
      </c>
      <c r="I127" s="29"/>
      <c r="J127" s="89" t="s">
        <v>180</v>
      </c>
      <c r="K127" s="29"/>
      <c r="L127" s="67">
        <f>H127</f>
        <v>183</v>
      </c>
      <c r="M127" s="29"/>
      <c r="N127" s="6"/>
    </row>
    <row r="128" spans="1:14" ht="15.75">
      <c r="A128" s="28"/>
      <c r="B128" s="29" t="s">
        <v>86</v>
      </c>
      <c r="C128" s="29"/>
      <c r="D128" s="29"/>
      <c r="E128" s="29"/>
      <c r="F128" s="29"/>
      <c r="G128" s="29"/>
      <c r="H128" s="67">
        <f>SUM(H126:H127)</f>
        <v>585</v>
      </c>
      <c r="I128" s="29"/>
      <c r="J128" s="89" t="s">
        <v>180</v>
      </c>
      <c r="K128" s="29"/>
      <c r="L128" s="67">
        <f>H128</f>
        <v>585</v>
      </c>
      <c r="M128" s="29"/>
      <c r="N128" s="6"/>
    </row>
    <row r="129" spans="1:14" ht="15.75">
      <c r="A129" s="28"/>
      <c r="B129" s="29" t="s">
        <v>87</v>
      </c>
      <c r="C129" s="29"/>
      <c r="D129" s="29"/>
      <c r="E129" s="29"/>
      <c r="F129" s="29"/>
      <c r="G129" s="29"/>
      <c r="H129" s="67">
        <v>0</v>
      </c>
      <c r="I129" s="29"/>
      <c r="J129" s="89" t="s">
        <v>180</v>
      </c>
      <c r="K129" s="29"/>
      <c r="L129" s="67">
        <f>H129</f>
        <v>0</v>
      </c>
      <c r="M129" s="29"/>
      <c r="N129" s="6"/>
    </row>
    <row r="130" spans="1:14" ht="15.75">
      <c r="A130" s="28"/>
      <c r="B130" s="29"/>
      <c r="C130" s="29"/>
      <c r="D130" s="29"/>
      <c r="E130" s="29"/>
      <c r="F130" s="29"/>
      <c r="G130" s="29"/>
      <c r="H130" s="29"/>
      <c r="I130" s="29"/>
      <c r="J130" s="29"/>
      <c r="K130" s="29"/>
      <c r="L130" s="29"/>
      <c r="M130" s="29"/>
      <c r="N130" s="6"/>
    </row>
    <row r="131" spans="1:14" ht="15.75">
      <c r="A131" s="28"/>
      <c r="B131" s="32"/>
      <c r="C131" s="32"/>
      <c r="D131" s="32"/>
      <c r="E131" s="32"/>
      <c r="F131" s="32"/>
      <c r="G131" s="32"/>
      <c r="H131" s="32"/>
      <c r="I131" s="32"/>
      <c r="J131" s="32"/>
      <c r="K131" s="32"/>
      <c r="L131" s="32"/>
      <c r="M131" s="32"/>
      <c r="N131" s="6"/>
    </row>
    <row r="132" spans="1:14" ht="15.75">
      <c r="A132" s="90"/>
      <c r="B132" s="63" t="s">
        <v>88</v>
      </c>
      <c r="C132" s="91"/>
      <c r="D132" s="91"/>
      <c r="E132" s="91"/>
      <c r="F132" s="91"/>
      <c r="G132" s="21"/>
      <c r="H132" s="21"/>
      <c r="I132" s="21"/>
      <c r="J132" s="21">
        <v>38230</v>
      </c>
      <c r="K132" s="17"/>
      <c r="L132" s="17"/>
      <c r="M132" s="9"/>
      <c r="N132" s="6"/>
    </row>
    <row r="133" spans="1:14" ht="15.75">
      <c r="A133" s="92"/>
      <c r="B133" s="93" t="s">
        <v>89</v>
      </c>
      <c r="C133" s="94"/>
      <c r="D133" s="94"/>
      <c r="E133" s="94"/>
      <c r="F133" s="94"/>
      <c r="G133" s="95"/>
      <c r="H133" s="95"/>
      <c r="I133" s="95"/>
      <c r="J133" s="96">
        <v>0.1226</v>
      </c>
      <c r="K133" s="29"/>
      <c r="L133" s="29"/>
      <c r="M133" s="29"/>
      <c r="N133" s="6"/>
    </row>
    <row r="134" spans="1:14" ht="15.75">
      <c r="A134" s="92"/>
      <c r="B134" s="93" t="s">
        <v>90</v>
      </c>
      <c r="C134" s="94"/>
      <c r="D134" s="94"/>
      <c r="E134" s="94"/>
      <c r="F134" s="94"/>
      <c r="G134" s="95"/>
      <c r="H134" s="95"/>
      <c r="I134" s="95"/>
      <c r="J134" s="96">
        <v>0.0582</v>
      </c>
      <c r="K134" s="96"/>
      <c r="L134" s="29"/>
      <c r="M134" s="29"/>
      <c r="N134" s="6"/>
    </row>
    <row r="135" spans="1:14" ht="15.75">
      <c r="A135" s="92"/>
      <c r="B135" s="93" t="s">
        <v>91</v>
      </c>
      <c r="C135" s="94"/>
      <c r="D135" s="94"/>
      <c r="E135" s="94"/>
      <c r="F135" s="94"/>
      <c r="G135" s="95"/>
      <c r="H135" s="95"/>
      <c r="I135" s="95"/>
      <c r="J135" s="96">
        <f>J133-J134</f>
        <v>0.0644</v>
      </c>
      <c r="K135" s="29"/>
      <c r="L135" s="29"/>
      <c r="M135" s="29"/>
      <c r="N135" s="6"/>
    </row>
    <row r="136" spans="1:14" ht="15.75">
      <c r="A136" s="92"/>
      <c r="B136" s="93" t="s">
        <v>92</v>
      </c>
      <c r="C136" s="94"/>
      <c r="D136" s="94"/>
      <c r="E136" s="94"/>
      <c r="F136" s="94"/>
      <c r="G136" s="95"/>
      <c r="H136" s="95"/>
      <c r="I136" s="95"/>
      <c r="J136" s="96">
        <v>0.1115</v>
      </c>
      <c r="K136" s="29"/>
      <c r="L136" s="29"/>
      <c r="M136" s="29"/>
      <c r="N136" s="6"/>
    </row>
    <row r="137" spans="1:14" ht="15.75">
      <c r="A137" s="92"/>
      <c r="B137" s="93" t="s">
        <v>93</v>
      </c>
      <c r="C137" s="94"/>
      <c r="D137" s="94"/>
      <c r="E137" s="94"/>
      <c r="F137" s="94"/>
      <c r="G137" s="95"/>
      <c r="H137" s="95"/>
      <c r="I137" s="95"/>
      <c r="J137" s="96">
        <f>L32</f>
        <v>0.053951778884462155</v>
      </c>
      <c r="K137" s="29"/>
      <c r="L137" s="29"/>
      <c r="M137" s="29"/>
      <c r="N137" s="6"/>
    </row>
    <row r="138" spans="1:14" ht="15.75">
      <c r="A138" s="92"/>
      <c r="B138" s="93" t="s">
        <v>94</v>
      </c>
      <c r="C138" s="94"/>
      <c r="D138" s="94"/>
      <c r="E138" s="94"/>
      <c r="F138" s="94"/>
      <c r="G138" s="95"/>
      <c r="H138" s="95"/>
      <c r="I138" s="95"/>
      <c r="J138" s="96">
        <f>J136-J137</f>
        <v>0.05754822111553785</v>
      </c>
      <c r="K138" s="29"/>
      <c r="L138" s="29"/>
      <c r="M138" s="29"/>
      <c r="N138" s="6"/>
    </row>
    <row r="139" spans="1:14" ht="15.75">
      <c r="A139" s="92"/>
      <c r="B139" s="93" t="s">
        <v>95</v>
      </c>
      <c r="C139" s="94"/>
      <c r="D139" s="94"/>
      <c r="E139" s="94"/>
      <c r="F139" s="94"/>
      <c r="G139" s="95"/>
      <c r="H139" s="95"/>
      <c r="I139" s="95"/>
      <c r="J139" s="96" t="s">
        <v>181</v>
      </c>
      <c r="K139" s="29"/>
      <c r="L139" s="29"/>
      <c r="M139" s="29"/>
      <c r="N139" s="6"/>
    </row>
    <row r="140" spans="1:14" ht="15.75">
      <c r="A140" s="92"/>
      <c r="B140" s="93" t="s">
        <v>96</v>
      </c>
      <c r="C140" s="94"/>
      <c r="D140" s="94"/>
      <c r="E140" s="94"/>
      <c r="F140" s="94"/>
      <c r="G140" s="95"/>
      <c r="H140" s="95"/>
      <c r="I140" s="95"/>
      <c r="J140" s="96" t="s">
        <v>182</v>
      </c>
      <c r="K140" s="29"/>
      <c r="L140" s="29"/>
      <c r="M140" s="29"/>
      <c r="N140" s="6"/>
    </row>
    <row r="141" spans="1:14" ht="15.75">
      <c r="A141" s="92"/>
      <c r="B141" s="93" t="s">
        <v>97</v>
      </c>
      <c r="C141" s="94"/>
      <c r="D141" s="94"/>
      <c r="E141" s="94"/>
      <c r="F141" s="94"/>
      <c r="G141" s="95"/>
      <c r="H141" s="95"/>
      <c r="I141" s="95"/>
      <c r="J141" s="96" t="s">
        <v>183</v>
      </c>
      <c r="K141" s="29"/>
      <c r="L141" s="29"/>
      <c r="M141" s="29"/>
      <c r="N141" s="6"/>
    </row>
    <row r="142" spans="1:14" ht="15.75">
      <c r="A142" s="92"/>
      <c r="B142" s="93" t="s">
        <v>98</v>
      </c>
      <c r="C142" s="94"/>
      <c r="D142" s="94"/>
      <c r="E142" s="94"/>
      <c r="F142" s="94"/>
      <c r="G142" s="95"/>
      <c r="H142" s="95"/>
      <c r="I142" s="95"/>
      <c r="J142" s="97">
        <v>4.08</v>
      </c>
      <c r="K142" s="29"/>
      <c r="L142" s="29"/>
      <c r="M142" s="29"/>
      <c r="N142" s="6"/>
    </row>
    <row r="143" spans="1:14" ht="15.75">
      <c r="A143" s="92"/>
      <c r="B143" s="93" t="s">
        <v>99</v>
      </c>
      <c r="C143" s="94"/>
      <c r="D143" s="94"/>
      <c r="E143" s="94"/>
      <c r="F143" s="94"/>
      <c r="G143" s="95"/>
      <c r="H143" s="95"/>
      <c r="I143" s="95"/>
      <c r="J143" s="97">
        <v>8.7</v>
      </c>
      <c r="K143" s="29"/>
      <c r="L143" s="29"/>
      <c r="M143" s="29"/>
      <c r="N143" s="6"/>
    </row>
    <row r="144" spans="1:14" ht="15.75">
      <c r="A144" s="92"/>
      <c r="B144" s="93" t="s">
        <v>100</v>
      </c>
      <c r="C144" s="94"/>
      <c r="D144" s="94"/>
      <c r="E144" s="94"/>
      <c r="F144" s="94"/>
      <c r="G144" s="95"/>
      <c r="H144" s="95"/>
      <c r="I144" s="95"/>
      <c r="J144" s="96">
        <v>0.1383</v>
      </c>
      <c r="K144" s="29"/>
      <c r="L144" s="29"/>
      <c r="M144" s="29"/>
      <c r="N144" s="6"/>
    </row>
    <row r="145" spans="1:14" ht="15.75">
      <c r="A145" s="92"/>
      <c r="B145" s="93" t="s">
        <v>101</v>
      </c>
      <c r="C145" s="94"/>
      <c r="D145" s="94"/>
      <c r="E145" s="94"/>
      <c r="F145" s="94"/>
      <c r="G145" s="95"/>
      <c r="H145" s="95"/>
      <c r="I145" s="95"/>
      <c r="J145" s="96">
        <v>0.4603</v>
      </c>
      <c r="K145" s="29"/>
      <c r="L145" s="29"/>
      <c r="M145" s="29"/>
      <c r="N145" s="6"/>
    </row>
    <row r="146" spans="1:14" ht="15.75">
      <c r="A146" s="92"/>
      <c r="B146" s="93"/>
      <c r="C146" s="93"/>
      <c r="D146" s="93"/>
      <c r="E146" s="93"/>
      <c r="F146" s="93"/>
      <c r="G146" s="29"/>
      <c r="H146" s="29"/>
      <c r="I146" s="36"/>
      <c r="J146" s="98"/>
      <c r="K146" s="29"/>
      <c r="L146" s="99"/>
      <c r="M146" s="29"/>
      <c r="N146" s="6"/>
    </row>
    <row r="147" spans="1:14" ht="15.75">
      <c r="A147" s="90"/>
      <c r="B147" s="100"/>
      <c r="C147" s="100"/>
      <c r="D147" s="100"/>
      <c r="E147" s="100"/>
      <c r="F147" s="100"/>
      <c r="G147" s="9"/>
      <c r="H147" s="9"/>
      <c r="I147" s="22"/>
      <c r="J147" s="101"/>
      <c r="K147" s="9"/>
      <c r="L147" s="102"/>
      <c r="M147" s="9"/>
      <c r="N147" s="6"/>
    </row>
    <row r="148" spans="1:14" ht="16.5" thickBot="1">
      <c r="A148" s="150"/>
      <c r="B148" s="145" t="str">
        <f>+B97</f>
        <v>PPAF1 INVESTOR REPORT QUARTER ENDING AUGUST 2004</v>
      </c>
      <c r="C148" s="151"/>
      <c r="D148" s="151"/>
      <c r="E148" s="151"/>
      <c r="F148" s="151"/>
      <c r="G148" s="146"/>
      <c r="H148" s="146"/>
      <c r="I148" s="152"/>
      <c r="J148" s="153"/>
      <c r="K148" s="146"/>
      <c r="L148" s="154"/>
      <c r="M148" s="148"/>
      <c r="N148" s="6"/>
    </row>
    <row r="149" spans="1:14" ht="15.75">
      <c r="A149" s="103"/>
      <c r="B149" s="104" t="s">
        <v>102</v>
      </c>
      <c r="C149" s="105"/>
      <c r="D149" s="106"/>
      <c r="E149" s="105"/>
      <c r="F149" s="106"/>
      <c r="G149" s="105"/>
      <c r="H149" s="106"/>
      <c r="I149" s="105" t="s">
        <v>141</v>
      </c>
      <c r="J149" s="106" t="s">
        <v>184</v>
      </c>
      <c r="K149" s="107"/>
      <c r="L149" s="107"/>
      <c r="M149" s="5"/>
      <c r="N149" s="6"/>
    </row>
    <row r="150" spans="1:14" ht="15.75">
      <c r="A150" s="108"/>
      <c r="B150" s="93" t="s">
        <v>103</v>
      </c>
      <c r="C150" s="68"/>
      <c r="D150" s="68"/>
      <c r="E150" s="68"/>
      <c r="F150" s="29"/>
      <c r="G150" s="29"/>
      <c r="H150" s="29"/>
      <c r="I150" s="29">
        <v>913</v>
      </c>
      <c r="J150" s="67">
        <v>6185</v>
      </c>
      <c r="K150" s="67"/>
      <c r="L150" s="99"/>
      <c r="M150" s="109"/>
      <c r="N150" s="6"/>
    </row>
    <row r="151" spans="1:14" ht="15.75">
      <c r="A151" s="108"/>
      <c r="B151" s="93" t="s">
        <v>104</v>
      </c>
      <c r="C151" s="68"/>
      <c r="D151" s="68"/>
      <c r="E151" s="68"/>
      <c r="F151" s="29"/>
      <c r="G151" s="29"/>
      <c r="H151" s="29"/>
      <c r="I151" s="29">
        <v>1</v>
      </c>
      <c r="J151" s="67">
        <v>23</v>
      </c>
      <c r="K151" s="67"/>
      <c r="L151" s="99"/>
      <c r="M151" s="109"/>
      <c r="N151" s="6"/>
    </row>
    <row r="152" spans="1:14" ht="15.75">
      <c r="A152" s="108"/>
      <c r="B152" s="168" t="s">
        <v>105</v>
      </c>
      <c r="C152" s="68"/>
      <c r="D152" s="68"/>
      <c r="E152" s="68"/>
      <c r="F152" s="29"/>
      <c r="G152" s="29"/>
      <c r="H152" s="29"/>
      <c r="I152" s="29"/>
      <c r="J152" s="110">
        <v>0</v>
      </c>
      <c r="K152" s="29"/>
      <c r="L152" s="99"/>
      <c r="M152" s="109"/>
      <c r="N152" s="6"/>
    </row>
    <row r="153" spans="1:14" ht="15.75">
      <c r="A153" s="108"/>
      <c r="B153" s="168" t="s">
        <v>106</v>
      </c>
      <c r="C153" s="68"/>
      <c r="D153" s="68"/>
      <c r="E153" s="68"/>
      <c r="F153" s="29"/>
      <c r="G153" s="29"/>
      <c r="H153" s="29"/>
      <c r="I153" s="29"/>
      <c r="J153" s="67">
        <f>H67</f>
        <v>24364</v>
      </c>
      <c r="K153" s="29"/>
      <c r="L153" s="99"/>
      <c r="M153" s="109"/>
      <c r="N153" s="6"/>
    </row>
    <row r="154" spans="1:14" ht="15.75">
      <c r="A154" s="111"/>
      <c r="B154" s="168" t="s">
        <v>107</v>
      </c>
      <c r="C154" s="68"/>
      <c r="D154" s="93"/>
      <c r="E154" s="93"/>
      <c r="F154" s="93"/>
      <c r="G154" s="29"/>
      <c r="H154" s="29"/>
      <c r="I154" s="29"/>
      <c r="J154" s="112"/>
      <c r="K154" s="29"/>
      <c r="L154" s="99"/>
      <c r="M154" s="113"/>
      <c r="N154" s="6"/>
    </row>
    <row r="155" spans="1:14" ht="15.75">
      <c r="A155" s="108"/>
      <c r="B155" s="93" t="s">
        <v>108</v>
      </c>
      <c r="C155" s="68"/>
      <c r="D155" s="68"/>
      <c r="E155" s="68"/>
      <c r="F155" s="68"/>
      <c r="G155" s="29"/>
      <c r="H155" s="29"/>
      <c r="I155" s="29"/>
      <c r="J155" s="67">
        <f>L116</f>
        <v>1257</v>
      </c>
      <c r="K155" s="29"/>
      <c r="L155" s="99"/>
      <c r="M155" s="113"/>
      <c r="N155" s="6"/>
    </row>
    <row r="156" spans="1:14" ht="15.75">
      <c r="A156" s="108"/>
      <c r="B156" s="93" t="s">
        <v>109</v>
      </c>
      <c r="C156" s="68"/>
      <c r="D156" s="68"/>
      <c r="E156" s="68"/>
      <c r="F156" s="68"/>
      <c r="G156" s="29"/>
      <c r="H156" s="29"/>
      <c r="I156" s="29"/>
      <c r="J156" s="67">
        <f>L116+'May 04'!J156</f>
        <v>22419</v>
      </c>
      <c r="K156" s="29"/>
      <c r="L156" s="99"/>
      <c r="M156" s="113"/>
      <c r="N156" s="6"/>
    </row>
    <row r="157" spans="1:14" ht="15.75">
      <c r="A157" s="108"/>
      <c r="B157" s="93" t="s">
        <v>110</v>
      </c>
      <c r="C157" s="68"/>
      <c r="D157" s="68"/>
      <c r="E157" s="68"/>
      <c r="F157" s="68"/>
      <c r="G157" s="29"/>
      <c r="H157" s="29"/>
      <c r="I157" s="29"/>
      <c r="J157" s="67"/>
      <c r="K157" s="29"/>
      <c r="L157" s="99"/>
      <c r="M157" s="113"/>
      <c r="N157" s="6"/>
    </row>
    <row r="158" spans="1:14" ht="15.75">
      <c r="A158" s="108"/>
      <c r="B158" s="93"/>
      <c r="C158" s="68"/>
      <c r="D158" s="68"/>
      <c r="E158" s="68"/>
      <c r="F158" s="68"/>
      <c r="G158" s="29"/>
      <c r="H158" s="29"/>
      <c r="I158" s="29"/>
      <c r="J158" s="67"/>
      <c r="K158" s="29"/>
      <c r="L158" s="99"/>
      <c r="M158" s="113"/>
      <c r="N158" s="6"/>
    </row>
    <row r="159" spans="1:14" ht="15.75">
      <c r="A159" s="111"/>
      <c r="B159" s="168" t="s">
        <v>111</v>
      </c>
      <c r="C159" s="68"/>
      <c r="D159" s="93"/>
      <c r="E159" s="93"/>
      <c r="F159" s="93"/>
      <c r="G159" s="29"/>
      <c r="H159" s="29"/>
      <c r="I159" s="29"/>
      <c r="J159" s="89"/>
      <c r="K159" s="29"/>
      <c r="L159" s="99"/>
      <c r="M159" s="113"/>
      <c r="N159" s="6"/>
    </row>
    <row r="160" spans="1:14" ht="15.75">
      <c r="A160" s="111"/>
      <c r="B160" s="93" t="s">
        <v>112</v>
      </c>
      <c r="C160" s="68"/>
      <c r="D160" s="93"/>
      <c r="E160" s="93"/>
      <c r="F160" s="93"/>
      <c r="G160" s="29"/>
      <c r="H160" s="29"/>
      <c r="I160" s="29"/>
      <c r="J160" s="89">
        <v>0</v>
      </c>
      <c r="K160" s="29"/>
      <c r="L160" s="99"/>
      <c r="M160" s="113"/>
      <c r="N160" s="6"/>
    </row>
    <row r="161" spans="1:14" ht="15.75">
      <c r="A161" s="108"/>
      <c r="B161" s="93" t="s">
        <v>113</v>
      </c>
      <c r="C161" s="68"/>
      <c r="D161" s="114"/>
      <c r="E161" s="114"/>
      <c r="F161" s="115"/>
      <c r="G161" s="29"/>
      <c r="H161" s="29"/>
      <c r="I161" s="29"/>
      <c r="J161" s="89">
        <v>0</v>
      </c>
      <c r="K161" s="29"/>
      <c r="L161" s="99"/>
      <c r="M161" s="113"/>
      <c r="N161" s="6"/>
    </row>
    <row r="162" spans="1:14" ht="15.75">
      <c r="A162" s="108"/>
      <c r="B162" s="93" t="s">
        <v>114</v>
      </c>
      <c r="C162" s="68"/>
      <c r="D162" s="114"/>
      <c r="E162" s="114"/>
      <c r="F162" s="115"/>
      <c r="G162" s="29"/>
      <c r="H162" s="29"/>
      <c r="I162" s="29"/>
      <c r="J162" s="89">
        <v>0</v>
      </c>
      <c r="K162" s="29"/>
      <c r="L162" s="99"/>
      <c r="M162" s="113"/>
      <c r="N162" s="6"/>
    </row>
    <row r="163" spans="1:14" ht="15.75">
      <c r="A163" s="108"/>
      <c r="B163" s="93" t="s">
        <v>115</v>
      </c>
      <c r="C163" s="68"/>
      <c r="D163" s="116"/>
      <c r="E163" s="114"/>
      <c r="F163" s="115"/>
      <c r="G163" s="29"/>
      <c r="H163" s="29"/>
      <c r="I163" s="29"/>
      <c r="J163" s="89">
        <v>0</v>
      </c>
      <c r="K163" s="29"/>
      <c r="L163" s="99"/>
      <c r="M163" s="113"/>
      <c r="N163" s="6"/>
    </row>
    <row r="164" spans="1:14" ht="15.75">
      <c r="A164" s="108"/>
      <c r="B164" s="93"/>
      <c r="C164" s="68"/>
      <c r="D164" s="116"/>
      <c r="E164" s="114"/>
      <c r="F164" s="115"/>
      <c r="G164" s="29"/>
      <c r="H164" s="29"/>
      <c r="I164" s="29"/>
      <c r="J164" s="89"/>
      <c r="K164" s="29"/>
      <c r="L164" s="99"/>
      <c r="M164" s="113"/>
      <c r="N164" s="6"/>
    </row>
    <row r="165" spans="1:14" ht="15.75">
      <c r="A165" s="108"/>
      <c r="B165" s="168" t="s">
        <v>116</v>
      </c>
      <c r="C165" s="68"/>
      <c r="D165" s="68"/>
      <c r="E165" s="116"/>
      <c r="F165" s="114"/>
      <c r="G165" s="115"/>
      <c r="H165" s="29"/>
      <c r="I165" s="36"/>
      <c r="J165" s="36"/>
      <c r="K165" s="117"/>
      <c r="L165" s="36"/>
      <c r="M165" s="99"/>
      <c r="N165" s="6"/>
    </row>
    <row r="166" spans="1:14" ht="15.75">
      <c r="A166" s="108"/>
      <c r="B166" s="93" t="s">
        <v>117</v>
      </c>
      <c r="C166" s="68"/>
      <c r="D166" s="68"/>
      <c r="E166" s="116"/>
      <c r="F166" s="114"/>
      <c r="G166" s="115"/>
      <c r="H166" s="29"/>
      <c r="I166" s="36"/>
      <c r="J166" s="118">
        <v>158</v>
      </c>
      <c r="K166" s="118"/>
      <c r="L166" s="36"/>
      <c r="M166" s="99"/>
      <c r="N166" s="6"/>
    </row>
    <row r="167" spans="1:14" ht="15.75">
      <c r="A167" s="108"/>
      <c r="B167" s="93" t="s">
        <v>113</v>
      </c>
      <c r="C167" s="68"/>
      <c r="D167" s="68"/>
      <c r="E167" s="116"/>
      <c r="F167" s="114"/>
      <c r="G167" s="115"/>
      <c r="H167" s="29"/>
      <c r="I167" s="36"/>
      <c r="J167" s="118">
        <v>1.04</v>
      </c>
      <c r="K167" s="118"/>
      <c r="L167" s="36"/>
      <c r="M167" s="99"/>
      <c r="N167" s="6"/>
    </row>
    <row r="168" spans="1:14" ht="15.75">
      <c r="A168" s="108"/>
      <c r="B168" s="93" t="s">
        <v>118</v>
      </c>
      <c r="C168" s="68"/>
      <c r="D168" s="68"/>
      <c r="E168" s="116"/>
      <c r="F168" s="114"/>
      <c r="G168" s="115"/>
      <c r="H168" s="29"/>
      <c r="I168" s="36"/>
      <c r="J168" s="118">
        <v>36</v>
      </c>
      <c r="K168" s="118"/>
      <c r="L168" s="36"/>
      <c r="M168" s="99"/>
      <c r="N168" s="6"/>
    </row>
    <row r="169" spans="1:14" ht="15.75">
      <c r="A169" s="108"/>
      <c r="B169" s="93"/>
      <c r="C169" s="68"/>
      <c r="D169" s="116"/>
      <c r="E169" s="114"/>
      <c r="F169" s="115"/>
      <c r="G169" s="29"/>
      <c r="H169" s="29"/>
      <c r="I169" s="29"/>
      <c r="J169" s="89"/>
      <c r="K169" s="29"/>
      <c r="L169" s="99"/>
      <c r="M169" s="113"/>
      <c r="N169" s="6"/>
    </row>
    <row r="170" spans="1:14" ht="15.75">
      <c r="A170" s="28"/>
      <c r="B170" s="119" t="s">
        <v>119</v>
      </c>
      <c r="C170" s="120"/>
      <c r="D170" s="121"/>
      <c r="E170" s="120"/>
      <c r="F170" s="121"/>
      <c r="G170" s="120"/>
      <c r="H170" s="121"/>
      <c r="I170" s="120"/>
      <c r="J170" s="121"/>
      <c r="K170" s="120"/>
      <c r="L170" s="122"/>
      <c r="M170" s="113"/>
      <c r="N170" s="6"/>
    </row>
    <row r="171" spans="1:14" ht="15.75">
      <c r="A171" s="28"/>
      <c r="B171" s="33"/>
      <c r="C171" s="156"/>
      <c r="D171" s="119" t="s">
        <v>151</v>
      </c>
      <c r="E171" s="120"/>
      <c r="F171" s="121"/>
      <c r="G171" s="120"/>
      <c r="H171" s="119" t="s">
        <v>39</v>
      </c>
      <c r="I171" s="120"/>
      <c r="J171" s="121"/>
      <c r="K171" s="120"/>
      <c r="L171" s="122"/>
      <c r="M171" s="113"/>
      <c r="N171" s="6"/>
    </row>
    <row r="172" spans="1:14" ht="15.75">
      <c r="A172" s="28"/>
      <c r="B172" s="156"/>
      <c r="C172" s="121" t="s">
        <v>141</v>
      </c>
      <c r="D172" s="120" t="s">
        <v>152</v>
      </c>
      <c r="E172" s="121" t="s">
        <v>157</v>
      </c>
      <c r="F172" s="120" t="s">
        <v>152</v>
      </c>
      <c r="G172" s="120"/>
      <c r="H172" s="121" t="s">
        <v>141</v>
      </c>
      <c r="I172" s="120" t="s">
        <v>152</v>
      </c>
      <c r="J172" s="121" t="s">
        <v>157</v>
      </c>
      <c r="K172" s="120" t="s">
        <v>152</v>
      </c>
      <c r="L172" s="122"/>
      <c r="M172" s="113"/>
      <c r="N172" s="6"/>
    </row>
    <row r="173" spans="1:14" ht="15.75">
      <c r="A173" s="28"/>
      <c r="B173" s="68" t="s">
        <v>120</v>
      </c>
      <c r="C173" s="123">
        <v>4084</v>
      </c>
      <c r="D173" s="96">
        <f>C173/C177</f>
        <v>0.8166366726654669</v>
      </c>
      <c r="E173" s="123">
        <v>21715</v>
      </c>
      <c r="F173" s="96">
        <f>E173/E177</f>
        <v>0.8052135864728567</v>
      </c>
      <c r="G173" s="120"/>
      <c r="H173" s="123">
        <v>13793</v>
      </c>
      <c r="I173" s="96">
        <f>H173/H177</f>
        <v>0.8704954244241085</v>
      </c>
      <c r="J173" s="123">
        <v>8976</v>
      </c>
      <c r="K173" s="96">
        <f>J173/J177</f>
        <v>0.8560801144492132</v>
      </c>
      <c r="L173" s="122"/>
      <c r="M173" s="113"/>
      <c r="N173" s="6"/>
    </row>
    <row r="174" spans="1:14" ht="15.75">
      <c r="A174" s="28"/>
      <c r="B174" s="68" t="s">
        <v>121</v>
      </c>
      <c r="C174" s="123">
        <v>105</v>
      </c>
      <c r="D174" s="96">
        <f>C174/$C$177</f>
        <v>0.020995800839832032</v>
      </c>
      <c r="E174" s="123">
        <v>675</v>
      </c>
      <c r="F174" s="96">
        <f>E174/$E$177</f>
        <v>0.025029664787896765</v>
      </c>
      <c r="G174" s="120"/>
      <c r="H174" s="123">
        <v>241</v>
      </c>
      <c r="I174" s="96">
        <f>H174/$H$177</f>
        <v>0.015209845377090565</v>
      </c>
      <c r="J174" s="123">
        <v>120</v>
      </c>
      <c r="K174" s="96">
        <f>J174/$J$177</f>
        <v>0.011444921316165951</v>
      </c>
      <c r="L174" s="122"/>
      <c r="M174" s="113"/>
      <c r="N174" s="6"/>
    </row>
    <row r="175" spans="1:14" ht="15.75">
      <c r="A175" s="28"/>
      <c r="B175" s="68" t="s">
        <v>122</v>
      </c>
      <c r="C175" s="123">
        <v>82</v>
      </c>
      <c r="D175" s="96">
        <f>C175/$C$177</f>
        <v>0.016396720655868825</v>
      </c>
      <c r="E175" s="123">
        <v>440</v>
      </c>
      <c r="F175" s="96">
        <f>E175/$E$177</f>
        <v>0.016315633343221597</v>
      </c>
      <c r="G175" s="120"/>
      <c r="H175" s="123">
        <v>216</v>
      </c>
      <c r="I175" s="96">
        <f>H175/$H$177</f>
        <v>0.013632060586935942</v>
      </c>
      <c r="J175" s="123">
        <v>122</v>
      </c>
      <c r="K175" s="96">
        <f>J175/$J$177</f>
        <v>0.011635670004768717</v>
      </c>
      <c r="L175" s="122"/>
      <c r="M175" s="113"/>
      <c r="N175" s="6"/>
    </row>
    <row r="176" spans="1:16" ht="15.75">
      <c r="A176" s="28"/>
      <c r="B176" s="68" t="s">
        <v>123</v>
      </c>
      <c r="C176" s="123">
        <v>730</v>
      </c>
      <c r="D176" s="96">
        <f>C176/$C$177</f>
        <v>0.14597080583883223</v>
      </c>
      <c r="E176" s="123">
        <v>4138</v>
      </c>
      <c r="F176" s="96">
        <f>E176/$E$177</f>
        <v>0.15344111539602492</v>
      </c>
      <c r="G176" s="120"/>
      <c r="H176" s="123">
        <v>1595</v>
      </c>
      <c r="I176" s="96">
        <f>H176/$H$177</f>
        <v>0.10066266961186494</v>
      </c>
      <c r="J176" s="123">
        <v>1267</v>
      </c>
      <c r="K176" s="96">
        <f>J176/$J$177</f>
        <v>0.12083929422985216</v>
      </c>
      <c r="L176" s="122"/>
      <c r="M176" s="113"/>
      <c r="N176" s="6"/>
      <c r="P176" s="72"/>
    </row>
    <row r="177" spans="1:16" ht="15.75">
      <c r="A177" s="28"/>
      <c r="B177" s="68" t="s">
        <v>124</v>
      </c>
      <c r="C177" s="123">
        <f>SUM(C173:C176)</f>
        <v>5001</v>
      </c>
      <c r="D177" s="96">
        <f>SUM(D173:D176)</f>
        <v>1</v>
      </c>
      <c r="E177" s="123">
        <f>SUM(E173:E176)</f>
        <v>26968</v>
      </c>
      <c r="F177" s="96">
        <f>SUM(F173:F176)</f>
        <v>1</v>
      </c>
      <c r="G177" s="120"/>
      <c r="H177" s="123">
        <f>SUM(H173:H176)</f>
        <v>15845</v>
      </c>
      <c r="I177" s="96">
        <f>SUM(I173:I176)</f>
        <v>1</v>
      </c>
      <c r="J177" s="123">
        <f>SUM(J173:J176)</f>
        <v>10485</v>
      </c>
      <c r="K177" s="96">
        <f>SUM(K173:K176)</f>
        <v>1</v>
      </c>
      <c r="L177" s="122"/>
      <c r="M177" s="113"/>
      <c r="N177" s="6"/>
      <c r="P177" s="72"/>
    </row>
    <row r="178" spans="1:15" ht="15.75">
      <c r="A178" s="28"/>
      <c r="B178" s="68" t="s">
        <v>125</v>
      </c>
      <c r="C178" s="123">
        <v>3365</v>
      </c>
      <c r="D178" s="124"/>
      <c r="E178" s="123">
        <v>23010</v>
      </c>
      <c r="F178" s="124"/>
      <c r="G178" s="120"/>
      <c r="H178" s="123">
        <v>2798</v>
      </c>
      <c r="I178" s="124"/>
      <c r="J178" s="123">
        <v>3832</v>
      </c>
      <c r="K178" s="124"/>
      <c r="L178" s="122"/>
      <c r="M178" s="113"/>
      <c r="N178" s="6"/>
      <c r="O178" s="72"/>
    </row>
    <row r="179" spans="1:16" ht="15.75">
      <c r="A179" s="28"/>
      <c r="B179" s="68" t="s">
        <v>126</v>
      </c>
      <c r="C179" s="123">
        <f>SUM(C177:C178)</f>
        <v>8366</v>
      </c>
      <c r="D179" s="156"/>
      <c r="E179" s="123">
        <f>E178+E177</f>
        <v>49978</v>
      </c>
      <c r="F179" s="127"/>
      <c r="G179" s="156"/>
      <c r="H179" s="123">
        <f>SUM(H177:H178)</f>
        <v>18643</v>
      </c>
      <c r="I179" s="156"/>
      <c r="J179" s="123">
        <f>J178+J177</f>
        <v>14317</v>
      </c>
      <c r="K179" s="156"/>
      <c r="L179" s="156"/>
      <c r="M179" s="113"/>
      <c r="N179" s="6"/>
      <c r="P179" s="72"/>
    </row>
    <row r="180" spans="1:16" ht="15.75">
      <c r="A180" s="28"/>
      <c r="B180" s="68"/>
      <c r="C180" s="123"/>
      <c r="D180" s="127"/>
      <c r="E180" s="123"/>
      <c r="F180" s="127"/>
      <c r="G180" s="120"/>
      <c r="H180" s="123"/>
      <c r="I180" s="127"/>
      <c r="J180" s="123"/>
      <c r="K180" s="127"/>
      <c r="L180" s="122"/>
      <c r="M180" s="113"/>
      <c r="N180" s="6"/>
      <c r="P180" s="72"/>
    </row>
    <row r="181" spans="1:15" ht="15.75">
      <c r="A181" s="28"/>
      <c r="B181" s="68"/>
      <c r="C181" s="120"/>
      <c r="D181" s="119" t="s">
        <v>40</v>
      </c>
      <c r="E181" s="120"/>
      <c r="F181" s="121"/>
      <c r="G181" s="120"/>
      <c r="H181" s="119" t="s">
        <v>41</v>
      </c>
      <c r="I181" s="120"/>
      <c r="J181" s="121"/>
      <c r="K181" s="120"/>
      <c r="L181" s="122"/>
      <c r="M181" s="113"/>
      <c r="N181" s="6"/>
      <c r="O181" s="72"/>
    </row>
    <row r="182" spans="1:14" ht="15.75">
      <c r="A182" s="28"/>
      <c r="B182" s="156"/>
      <c r="C182" s="121" t="s">
        <v>141</v>
      </c>
      <c r="D182" s="120" t="s">
        <v>152</v>
      </c>
      <c r="E182" s="121" t="s">
        <v>157</v>
      </c>
      <c r="F182" s="120" t="s">
        <v>152</v>
      </c>
      <c r="G182" s="120"/>
      <c r="H182" s="121" t="s">
        <v>141</v>
      </c>
      <c r="I182" s="120" t="s">
        <v>152</v>
      </c>
      <c r="J182" s="121" t="s">
        <v>157</v>
      </c>
      <c r="K182" s="120" t="s">
        <v>152</v>
      </c>
      <c r="L182" s="122"/>
      <c r="M182" s="113"/>
      <c r="N182" s="6"/>
    </row>
    <row r="183" spans="1:15" ht="15.75">
      <c r="A183" s="28"/>
      <c r="B183" s="68" t="s">
        <v>120</v>
      </c>
      <c r="C183" s="123">
        <v>4589</v>
      </c>
      <c r="D183" s="96">
        <f>C183/C187</f>
        <v>0.9612484289903644</v>
      </c>
      <c r="E183" s="123">
        <v>98651</v>
      </c>
      <c r="F183" s="96">
        <f>E183/E187</f>
        <v>0.9590989519531782</v>
      </c>
      <c r="G183" s="120"/>
      <c r="H183" s="123">
        <v>8296</v>
      </c>
      <c r="I183" s="96">
        <f>H183/H187</f>
        <v>0.9829383886255925</v>
      </c>
      <c r="J183" s="123">
        <v>44441</v>
      </c>
      <c r="K183" s="96">
        <f>J183/J187</f>
        <v>0.9783379196477711</v>
      </c>
      <c r="L183" s="122"/>
      <c r="M183" s="113"/>
      <c r="N183" s="6"/>
      <c r="O183" s="72"/>
    </row>
    <row r="184" spans="1:14" ht="15.75">
      <c r="A184" s="28"/>
      <c r="B184" s="68" t="s">
        <v>121</v>
      </c>
      <c r="C184" s="123">
        <v>79</v>
      </c>
      <c r="D184" s="96">
        <f>C184/$C$187</f>
        <v>0.016547968160871385</v>
      </c>
      <c r="E184" s="123">
        <v>1899</v>
      </c>
      <c r="F184" s="96">
        <f>E184/$E$187</f>
        <v>0.018462346147115442</v>
      </c>
      <c r="G184" s="120"/>
      <c r="H184" s="123">
        <v>45</v>
      </c>
      <c r="I184" s="96">
        <f>H184/$H$187</f>
        <v>0.00533175355450237</v>
      </c>
      <c r="J184" s="123">
        <v>310</v>
      </c>
      <c r="K184" s="96">
        <f>J184/$J$187</f>
        <v>0.006824435883324161</v>
      </c>
      <c r="L184" s="122"/>
      <c r="M184" s="113"/>
      <c r="N184" s="6"/>
    </row>
    <row r="185" spans="1:14" ht="15.75">
      <c r="A185" s="28"/>
      <c r="B185" s="68" t="s">
        <v>122</v>
      </c>
      <c r="C185" s="123">
        <v>45</v>
      </c>
      <c r="D185" s="96">
        <f>C185/$C$187</f>
        <v>0.009426057813154587</v>
      </c>
      <c r="E185" s="123">
        <v>1048</v>
      </c>
      <c r="F185" s="96">
        <f>E185/$E$187</f>
        <v>0.010188803982189036</v>
      </c>
      <c r="G185" s="120"/>
      <c r="H185" s="123">
        <v>26</v>
      </c>
      <c r="I185" s="96">
        <f>H185/$H$187</f>
        <v>0.003080568720379147</v>
      </c>
      <c r="J185" s="123">
        <v>201</v>
      </c>
      <c r="K185" s="96">
        <f>J185/$J$187</f>
        <v>0.004424876169510181</v>
      </c>
      <c r="L185" s="122"/>
      <c r="M185" s="113"/>
      <c r="N185" s="6"/>
    </row>
    <row r="186" spans="1:14" ht="15.75">
      <c r="A186" s="28"/>
      <c r="B186" s="68" t="s">
        <v>123</v>
      </c>
      <c r="C186" s="123">
        <v>61</v>
      </c>
      <c r="D186" s="96">
        <f>C186/$C$187</f>
        <v>0.012777545035609551</v>
      </c>
      <c r="E186" s="123">
        <v>1260</v>
      </c>
      <c r="F186" s="96">
        <f>E186/$E$187</f>
        <v>0.012249897917517355</v>
      </c>
      <c r="G186" s="120"/>
      <c r="H186" s="123">
        <v>73</v>
      </c>
      <c r="I186" s="96">
        <f>H186/$H$187</f>
        <v>0.008649289099526067</v>
      </c>
      <c r="J186" s="123">
        <v>473</v>
      </c>
      <c r="K186" s="96">
        <f>J186/$J$187</f>
        <v>0.010412768299394606</v>
      </c>
      <c r="L186" s="122"/>
      <c r="M186" s="113"/>
      <c r="N186" s="6"/>
    </row>
    <row r="187" spans="1:14" ht="15.75">
      <c r="A187" s="28"/>
      <c r="B187" s="68" t="str">
        <f>B177</f>
        <v>Total Performing  Assets</v>
      </c>
      <c r="C187" s="123">
        <f>SUM(C183:C186)</f>
        <v>4774</v>
      </c>
      <c r="D187" s="96">
        <f>SUM(D183:D186)</f>
        <v>1</v>
      </c>
      <c r="E187" s="123">
        <f>SUM(E183:E186)</f>
        <v>102858</v>
      </c>
      <c r="F187" s="96">
        <f>SUM(F183:F186)</f>
        <v>1</v>
      </c>
      <c r="G187" s="120"/>
      <c r="H187" s="123">
        <f>SUM(H183:H186)</f>
        <v>8440</v>
      </c>
      <c r="I187" s="96">
        <f>SUM(I183:I186)</f>
        <v>1</v>
      </c>
      <c r="J187" s="123">
        <f>SUM(J183:J186)</f>
        <v>45425</v>
      </c>
      <c r="K187" s="96">
        <f>SUM(K183:K186)</f>
        <v>1</v>
      </c>
      <c r="L187" s="122"/>
      <c r="M187" s="113"/>
      <c r="N187" s="6"/>
    </row>
    <row r="188" spans="1:14" ht="15.75">
      <c r="A188" s="28"/>
      <c r="B188" s="68" t="s">
        <v>125</v>
      </c>
      <c r="C188" s="123">
        <v>6</v>
      </c>
      <c r="D188" s="126"/>
      <c r="E188" s="123">
        <v>71</v>
      </c>
      <c r="F188" s="124"/>
      <c r="G188" s="120"/>
      <c r="H188" s="123">
        <v>26</v>
      </c>
      <c r="I188" s="126"/>
      <c r="J188" s="123">
        <v>220</v>
      </c>
      <c r="K188" s="126"/>
      <c r="L188" s="122"/>
      <c r="M188" s="113"/>
      <c r="N188" s="6"/>
    </row>
    <row r="189" spans="1:15" ht="15.75">
      <c r="A189" s="28"/>
      <c r="B189" s="68" t="s">
        <v>126</v>
      </c>
      <c r="C189" s="123">
        <f>SUM(C187:C188)</f>
        <v>4780</v>
      </c>
      <c r="D189" s="156"/>
      <c r="E189" s="123">
        <f>E188+E187</f>
        <v>102929</v>
      </c>
      <c r="F189" s="127"/>
      <c r="G189" s="156"/>
      <c r="H189" s="123">
        <f>SUM(H187:H188)</f>
        <v>8466</v>
      </c>
      <c r="I189" s="156"/>
      <c r="J189" s="123">
        <f>J188+J187</f>
        <v>45645</v>
      </c>
      <c r="K189" s="156"/>
      <c r="L189" s="156"/>
      <c r="M189" s="156"/>
      <c r="N189" s="6"/>
      <c r="O189" s="72"/>
    </row>
    <row r="190" spans="1:14" ht="15.75">
      <c r="A190" s="28"/>
      <c r="B190" s="68"/>
      <c r="C190" s="120"/>
      <c r="D190" s="121"/>
      <c r="E190" s="120"/>
      <c r="F190" s="121"/>
      <c r="G190" s="120"/>
      <c r="H190" s="128"/>
      <c r="I190" s="120"/>
      <c r="J190" s="123"/>
      <c r="K190" s="120"/>
      <c r="L190" s="122"/>
      <c r="M190" s="113"/>
      <c r="N190" s="6"/>
    </row>
    <row r="191" spans="1:14" ht="15.75">
      <c r="A191" s="28"/>
      <c r="B191" s="68" t="s">
        <v>126</v>
      </c>
      <c r="C191" s="120"/>
      <c r="D191" s="121"/>
      <c r="E191" s="120"/>
      <c r="F191" s="121"/>
      <c r="G191" s="120"/>
      <c r="H191" s="128"/>
      <c r="I191" s="126"/>
      <c r="J191" s="123">
        <f>E179+J179+E189+J189</f>
        <v>212869</v>
      </c>
      <c r="K191" s="127"/>
      <c r="L191" s="122"/>
      <c r="M191" s="113"/>
      <c r="N191" s="6"/>
    </row>
    <row r="192" spans="1:14" ht="15.75">
      <c r="A192" s="28"/>
      <c r="B192" s="68"/>
      <c r="C192" s="121"/>
      <c r="D192" s="121"/>
      <c r="E192" s="120"/>
      <c r="F192" s="121"/>
      <c r="G192" s="120"/>
      <c r="H192" s="121"/>
      <c r="I192" s="120"/>
      <c r="J192" s="123"/>
      <c r="K192" s="126"/>
      <c r="L192" s="122"/>
      <c r="M192" s="113"/>
      <c r="N192" s="6"/>
    </row>
    <row r="193" spans="1:14" ht="15.75">
      <c r="A193" s="28"/>
      <c r="B193" s="129" t="s">
        <v>127</v>
      </c>
      <c r="C193" s="120"/>
      <c r="D193" s="121"/>
      <c r="E193" s="120"/>
      <c r="F193" s="121"/>
      <c r="G193" s="120"/>
      <c r="H193" s="121"/>
      <c r="I193" s="120"/>
      <c r="J193" s="123"/>
      <c r="K193" s="120"/>
      <c r="L193" s="122"/>
      <c r="M193" s="113"/>
      <c r="N193" s="6"/>
    </row>
    <row r="194" spans="1:14" ht="15.75">
      <c r="A194" s="28"/>
      <c r="B194" s="68"/>
      <c r="C194" s="120"/>
      <c r="D194" s="121"/>
      <c r="E194" s="120"/>
      <c r="F194" s="121"/>
      <c r="G194" s="120"/>
      <c r="H194" s="121"/>
      <c r="I194" s="120"/>
      <c r="J194" s="123"/>
      <c r="K194" s="120"/>
      <c r="L194" s="122"/>
      <c r="M194" s="113"/>
      <c r="N194" s="6"/>
    </row>
    <row r="195" spans="1:14" ht="15.75">
      <c r="A195" s="28"/>
      <c r="B195" s="68" t="s">
        <v>128</v>
      </c>
      <c r="C195" s="120"/>
      <c r="D195" s="121"/>
      <c r="E195" s="120"/>
      <c r="F195" s="121"/>
      <c r="G195" s="120"/>
      <c r="H195" s="121"/>
      <c r="I195" s="120"/>
      <c r="J195" s="123">
        <f>+E177+J177+E187+J187</f>
        <v>185736</v>
      </c>
      <c r="K195" s="120"/>
      <c r="L195" s="122"/>
      <c r="M195" s="113"/>
      <c r="N195" s="6"/>
    </row>
    <row r="196" spans="1:14" ht="15.75">
      <c r="A196" s="28"/>
      <c r="B196" s="68" t="s">
        <v>129</v>
      </c>
      <c r="C196" s="120"/>
      <c r="D196" s="121"/>
      <c r="E196" s="120"/>
      <c r="F196" s="121"/>
      <c r="G196" s="120"/>
      <c r="H196" s="121"/>
      <c r="I196" s="120"/>
      <c r="J196" s="123">
        <f>L93</f>
        <v>67053</v>
      </c>
      <c r="K196" s="120"/>
      <c r="L196" s="122"/>
      <c r="M196" s="113"/>
      <c r="N196" s="6"/>
    </row>
    <row r="197" spans="1:14" ht="15.75">
      <c r="A197" s="28"/>
      <c r="B197" s="68" t="s">
        <v>130</v>
      </c>
      <c r="C197" s="120"/>
      <c r="D197" s="121"/>
      <c r="E197" s="120"/>
      <c r="F197" s="121"/>
      <c r="G197" s="120"/>
      <c r="H197" s="121"/>
      <c r="I197" s="120"/>
      <c r="J197" s="123">
        <v>-1789</v>
      </c>
      <c r="K197" s="120"/>
      <c r="L197" s="122"/>
      <c r="M197" s="113"/>
      <c r="N197" s="6"/>
    </row>
    <row r="198" spans="1:14" ht="15.75">
      <c r="A198" s="28"/>
      <c r="B198" s="68" t="s">
        <v>131</v>
      </c>
      <c r="C198" s="120"/>
      <c r="D198" s="121"/>
      <c r="E198" s="120"/>
      <c r="F198" s="121"/>
      <c r="G198" s="120"/>
      <c r="H198" s="121"/>
      <c r="I198" s="120"/>
      <c r="J198" s="123">
        <f>SUM(J195:J197)</f>
        <v>251000</v>
      </c>
      <c r="K198" s="120"/>
      <c r="L198" s="122"/>
      <c r="M198" s="113"/>
      <c r="N198" s="6"/>
    </row>
    <row r="199" spans="1:14" ht="15.75">
      <c r="A199" s="28"/>
      <c r="B199" s="68"/>
      <c r="C199" s="120"/>
      <c r="D199" s="121"/>
      <c r="E199" s="120"/>
      <c r="F199" s="121"/>
      <c r="G199" s="120"/>
      <c r="H199" s="121"/>
      <c r="I199" s="120"/>
      <c r="J199" s="123"/>
      <c r="K199" s="120"/>
      <c r="L199" s="122"/>
      <c r="M199" s="113"/>
      <c r="N199" s="6"/>
    </row>
    <row r="200" spans="1:14" ht="15.75">
      <c r="A200" s="28"/>
      <c r="B200" s="68" t="s">
        <v>132</v>
      </c>
      <c r="C200" s="120"/>
      <c r="D200" s="121"/>
      <c r="E200" s="120"/>
      <c r="F200" s="121"/>
      <c r="G200" s="120"/>
      <c r="H200" s="121"/>
      <c r="I200" s="120"/>
      <c r="J200" s="123">
        <f>L30</f>
        <v>251000</v>
      </c>
      <c r="K200" s="120"/>
      <c r="L200" s="122"/>
      <c r="M200" s="113"/>
      <c r="N200" s="6"/>
    </row>
    <row r="201" spans="1:14" ht="15.75">
      <c r="A201" s="28"/>
      <c r="B201" s="68"/>
      <c r="C201" s="120"/>
      <c r="D201" s="121"/>
      <c r="E201" s="120"/>
      <c r="F201" s="121"/>
      <c r="G201" s="120"/>
      <c r="H201" s="121"/>
      <c r="I201" s="120"/>
      <c r="J201" s="123"/>
      <c r="K201" s="120"/>
      <c r="L201" s="122"/>
      <c r="M201" s="113"/>
      <c r="N201" s="6"/>
    </row>
    <row r="202" spans="1:14" ht="15.75">
      <c r="A202" s="28"/>
      <c r="B202" s="68" t="s">
        <v>133</v>
      </c>
      <c r="C202" s="120"/>
      <c r="D202" s="121"/>
      <c r="E202" s="120"/>
      <c r="F202" s="121"/>
      <c r="G202" s="120"/>
      <c r="H202" s="121"/>
      <c r="I202" s="120"/>
      <c r="J202" s="123">
        <f>J198/J200</f>
        <v>1</v>
      </c>
      <c r="K202" s="120"/>
      <c r="L202" s="122"/>
      <c r="M202" s="113"/>
      <c r="N202" s="6"/>
    </row>
    <row r="203" spans="1:14" ht="15.75">
      <c r="A203" s="28"/>
      <c r="B203" s="29"/>
      <c r="C203" s="29"/>
      <c r="D203" s="36"/>
      <c r="E203" s="29"/>
      <c r="F203" s="29"/>
      <c r="G203" s="29"/>
      <c r="H203" s="66"/>
      <c r="I203" s="130"/>
      <c r="J203" s="67"/>
      <c r="K203" s="130"/>
      <c r="L203" s="99"/>
      <c r="M203" s="29"/>
      <c r="N203" s="6"/>
    </row>
    <row r="204" spans="1:14" ht="15.75">
      <c r="A204" s="131"/>
      <c r="B204" s="33" t="s">
        <v>134</v>
      </c>
      <c r="C204" s="132"/>
      <c r="D204" s="120" t="s">
        <v>153</v>
      </c>
      <c r="E204" s="122"/>
      <c r="F204" s="33" t="s">
        <v>166</v>
      </c>
      <c r="G204" s="133"/>
      <c r="H204" s="133"/>
      <c r="I204" s="133"/>
      <c r="J204" s="134"/>
      <c r="K204" s="32"/>
      <c r="L204" s="32"/>
      <c r="M204" s="32"/>
      <c r="N204" s="6"/>
    </row>
    <row r="205" spans="1:14" ht="15.75">
      <c r="A205" s="135"/>
      <c r="B205" s="15" t="s">
        <v>135</v>
      </c>
      <c r="C205" s="136"/>
      <c r="D205" s="137" t="s">
        <v>154</v>
      </c>
      <c r="E205" s="15"/>
      <c r="F205" s="15" t="s">
        <v>167</v>
      </c>
      <c r="G205" s="136"/>
      <c r="H205" s="136"/>
      <c r="I205" s="14"/>
      <c r="J205" s="14"/>
      <c r="K205" s="14"/>
      <c r="L205" s="14"/>
      <c r="M205" s="14"/>
      <c r="N205" s="6"/>
    </row>
    <row r="206" spans="1:14" ht="15.75">
      <c r="A206" s="135"/>
      <c r="B206" s="15" t="s">
        <v>136</v>
      </c>
      <c r="C206" s="136"/>
      <c r="D206" s="137" t="s">
        <v>155</v>
      </c>
      <c r="E206" s="15"/>
      <c r="F206" s="15" t="s">
        <v>168</v>
      </c>
      <c r="G206" s="136"/>
      <c r="H206" s="136"/>
      <c r="I206" s="14"/>
      <c r="J206" s="14"/>
      <c r="K206" s="14"/>
      <c r="L206" s="14"/>
      <c r="M206" s="14"/>
      <c r="N206" s="6"/>
    </row>
    <row r="207" spans="1:14" ht="15.75">
      <c r="A207" s="135"/>
      <c r="B207" s="15"/>
      <c r="C207" s="136"/>
      <c r="D207" s="137"/>
      <c r="E207" s="15"/>
      <c r="F207" s="15"/>
      <c r="G207" s="136"/>
      <c r="H207" s="136"/>
      <c r="I207" s="14"/>
      <c r="J207" s="14"/>
      <c r="K207" s="14"/>
      <c r="L207" s="14"/>
      <c r="M207" s="14"/>
      <c r="N207" s="6"/>
    </row>
    <row r="208" spans="1:14" ht="15.75">
      <c r="A208" s="135"/>
      <c r="B208" s="15"/>
      <c r="C208" s="136"/>
      <c r="D208" s="137"/>
      <c r="E208" s="15"/>
      <c r="F208" s="15"/>
      <c r="G208" s="136"/>
      <c r="H208" s="136"/>
      <c r="I208" s="14"/>
      <c r="J208" s="14"/>
      <c r="K208" s="14"/>
      <c r="L208" s="14"/>
      <c r="M208" s="14"/>
      <c r="N208" s="6"/>
    </row>
    <row r="209" spans="1:14" ht="15.75">
      <c r="A209" s="135"/>
      <c r="B209" s="15" t="str">
        <f>+B148</f>
        <v>PPAF1 INVESTOR REPORT QUARTER ENDING AUGUST 2004</v>
      </c>
      <c r="C209" s="136"/>
      <c r="D209" s="137"/>
      <c r="E209" s="15"/>
      <c r="F209" s="15"/>
      <c r="G209" s="136"/>
      <c r="H209" s="136"/>
      <c r="I209" s="14"/>
      <c r="J209" s="14"/>
      <c r="K209" s="14"/>
      <c r="L209" s="14"/>
      <c r="M209" s="14"/>
      <c r="N209" s="6"/>
    </row>
    <row r="210" spans="1:13" ht="15">
      <c r="A210" s="138"/>
      <c r="B210" s="138"/>
      <c r="C210" s="138"/>
      <c r="D210" s="138"/>
      <c r="E210" s="138"/>
      <c r="F210" s="138"/>
      <c r="G210" s="138"/>
      <c r="H210" s="138"/>
      <c r="I210" s="138"/>
      <c r="J210" s="138"/>
      <c r="K210" s="138"/>
      <c r="L210" s="138"/>
      <c r="M210" s="138"/>
    </row>
  </sheetData>
  <printOptions horizontalCentered="1" verticalCentered="1"/>
  <pageMargins left="0.2362204724409449" right="0.4330708661417323" top="0.2362204724409449" bottom="0.7480314960629921" header="0" footer="0"/>
  <pageSetup horizontalDpi="600" verticalDpi="600" orientation="landscape" paperSize="9" scale="50" r:id="rId2"/>
  <rowBreaks count="4" manualBreakCount="4">
    <brk id="50" max="13" man="1"/>
    <brk id="97" max="13" man="1"/>
    <brk id="148" max="13" man="1"/>
    <brk id="210" max="0" man="1"/>
  </rowBreaks>
  <drawing r:id="rId1"/>
</worksheet>
</file>

<file path=xl/worksheets/sheet14.xml><?xml version="1.0" encoding="utf-8"?>
<worksheet xmlns="http://schemas.openxmlformats.org/spreadsheetml/2006/main" xmlns:r="http://schemas.openxmlformats.org/officeDocument/2006/relationships">
  <dimension ref="A1:P211"/>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1.6640625" style="1" customWidth="1"/>
    <col min="3" max="3" width="18.88671875" style="1" customWidth="1"/>
    <col min="4" max="4" width="14.6640625" style="1" customWidth="1"/>
    <col min="5" max="5" width="12.4453125" style="1" customWidth="1"/>
    <col min="6" max="6" width="14.6640625" style="1" customWidth="1"/>
    <col min="7" max="7" width="7.6640625" style="1" customWidth="1"/>
    <col min="8" max="8" width="13.6640625" style="1" customWidth="1"/>
    <col min="9" max="9" width="9.6640625" style="1" customWidth="1"/>
    <col min="10" max="10" width="13.6640625" style="1" customWidth="1"/>
    <col min="11" max="11" width="8.6640625" style="1" customWidth="1"/>
    <col min="12" max="12" width="15.6640625" style="1" customWidth="1"/>
    <col min="13" max="13" width="11.886718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8"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2" t="s">
        <v>2</v>
      </c>
      <c r="C5" s="13"/>
      <c r="D5" s="9"/>
      <c r="E5" s="9"/>
      <c r="F5" s="9"/>
      <c r="G5" s="9"/>
      <c r="H5" s="9"/>
      <c r="I5" s="9"/>
      <c r="J5" s="9"/>
      <c r="K5" s="9"/>
      <c r="L5" s="9"/>
      <c r="M5" s="9"/>
      <c r="N5" s="6"/>
    </row>
    <row r="6" spans="1:14" ht="15.75">
      <c r="A6" s="7"/>
      <c r="B6" s="12" t="s">
        <v>3</v>
      </c>
      <c r="C6" s="13"/>
      <c r="D6" s="9"/>
      <c r="E6" s="9"/>
      <c r="F6" s="9"/>
      <c r="G6" s="9"/>
      <c r="H6" s="9"/>
      <c r="I6" s="9"/>
      <c r="J6" s="9"/>
      <c r="K6" s="9"/>
      <c r="L6" s="9"/>
      <c r="M6" s="9"/>
      <c r="N6" s="6"/>
    </row>
    <row r="7" spans="1:14" ht="15.75">
      <c r="A7" s="7"/>
      <c r="B7" s="12" t="s">
        <v>4</v>
      </c>
      <c r="C7" s="13"/>
      <c r="D7" s="9"/>
      <c r="E7" s="9"/>
      <c r="F7" s="9"/>
      <c r="G7" s="9"/>
      <c r="H7" s="9"/>
      <c r="I7" s="9"/>
      <c r="J7" s="9"/>
      <c r="K7" s="9"/>
      <c r="L7" s="9"/>
      <c r="M7" s="9"/>
      <c r="N7" s="6"/>
    </row>
    <row r="8" spans="1:14" ht="15.75">
      <c r="A8" s="7"/>
      <c r="B8" s="14"/>
      <c r="C8" s="13"/>
      <c r="D8" s="9"/>
      <c r="E8" s="9"/>
      <c r="F8" s="9"/>
      <c r="G8" s="9"/>
      <c r="H8" s="9"/>
      <c r="I8" s="9"/>
      <c r="J8" s="9"/>
      <c r="K8" s="9"/>
      <c r="L8" s="9"/>
      <c r="M8" s="9"/>
      <c r="N8" s="6"/>
    </row>
    <row r="9" spans="1:14" ht="15.75">
      <c r="A9" s="7"/>
      <c r="B9" s="13"/>
      <c r="C9" s="13"/>
      <c r="D9" s="15"/>
      <c r="E9" s="15"/>
      <c r="F9" s="9"/>
      <c r="G9" s="9"/>
      <c r="H9" s="9"/>
      <c r="I9" s="9"/>
      <c r="J9" s="9"/>
      <c r="K9" s="9"/>
      <c r="L9" s="9"/>
      <c r="M9" s="9"/>
      <c r="N9" s="6"/>
    </row>
    <row r="10" spans="1:14" ht="15.75">
      <c r="A10" s="7"/>
      <c r="B10" s="15" t="s">
        <v>5</v>
      </c>
      <c r="C10" s="15"/>
      <c r="D10" s="9"/>
      <c r="E10" s="9"/>
      <c r="F10" s="9"/>
      <c r="G10" s="9"/>
      <c r="H10" s="9"/>
      <c r="I10" s="9"/>
      <c r="J10" s="9"/>
      <c r="K10" s="9"/>
      <c r="L10" s="9"/>
      <c r="M10" s="9"/>
      <c r="N10" s="6"/>
    </row>
    <row r="11" spans="1:14" ht="15.75">
      <c r="A11" s="7"/>
      <c r="B11" s="15"/>
      <c r="C11" s="15"/>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6" t="s">
        <v>6</v>
      </c>
      <c r="C13" s="16"/>
      <c r="D13" s="17"/>
      <c r="E13" s="17"/>
      <c r="F13" s="17"/>
      <c r="G13" s="17"/>
      <c r="H13" s="17"/>
      <c r="I13" s="17"/>
      <c r="J13" s="17"/>
      <c r="K13" s="17"/>
      <c r="L13" s="18" t="s">
        <v>186</v>
      </c>
      <c r="M13" s="9"/>
      <c r="N13" s="6"/>
    </row>
    <row r="14" spans="1:14" ht="15.75">
      <c r="A14" s="7"/>
      <c r="B14" s="16" t="s">
        <v>7</v>
      </c>
      <c r="C14" s="16"/>
      <c r="D14" s="19" t="s">
        <v>140</v>
      </c>
      <c r="E14" s="20">
        <v>0.348</v>
      </c>
      <c r="F14" s="19" t="s">
        <v>150</v>
      </c>
      <c r="G14" s="20">
        <v>0.229</v>
      </c>
      <c r="H14" s="19" t="s">
        <v>156</v>
      </c>
      <c r="I14" s="20">
        <v>0.098</v>
      </c>
      <c r="J14" s="19" t="s">
        <v>165</v>
      </c>
      <c r="K14" s="20">
        <v>0.1</v>
      </c>
      <c r="L14" s="18"/>
      <c r="M14" s="17"/>
      <c r="N14" s="6"/>
    </row>
    <row r="15" spans="1:14" ht="15.75">
      <c r="A15" s="7"/>
      <c r="B15" s="16" t="s">
        <v>8</v>
      </c>
      <c r="C15" s="16"/>
      <c r="D15" s="19" t="s">
        <v>140</v>
      </c>
      <c r="E15" s="20">
        <f>E178/(J196+$L$93)</f>
        <v>0.09146758759281456</v>
      </c>
      <c r="F15" s="19" t="s">
        <v>150</v>
      </c>
      <c r="G15" s="20">
        <f>J178/(J196+$L$93)</f>
        <v>0.04260470194510046</v>
      </c>
      <c r="H15" s="19" t="s">
        <v>156</v>
      </c>
      <c r="I15" s="20">
        <f>E188/(J196+$L$93)</f>
        <v>0.42687775180090903</v>
      </c>
      <c r="J15" s="19" t="s">
        <v>165</v>
      </c>
      <c r="K15" s="20">
        <f>J188/(J196+$L$93)</f>
        <v>0.2823501022591964</v>
      </c>
      <c r="L15" s="18"/>
      <c r="M15" s="17"/>
      <c r="N15" s="6"/>
    </row>
    <row r="16" spans="1:14" ht="15.75">
      <c r="A16" s="7"/>
      <c r="B16" s="16" t="s">
        <v>9</v>
      </c>
      <c r="C16" s="16"/>
      <c r="D16" s="17"/>
      <c r="E16" s="17"/>
      <c r="F16" s="17"/>
      <c r="G16" s="17"/>
      <c r="H16" s="17"/>
      <c r="I16" s="17"/>
      <c r="J16" s="17"/>
      <c r="K16" s="17"/>
      <c r="L16" s="178">
        <v>37070</v>
      </c>
      <c r="M16" s="9"/>
      <c r="N16" s="6"/>
    </row>
    <row r="17" spans="1:14" ht="15.75">
      <c r="A17" s="7"/>
      <c r="B17" s="16" t="s">
        <v>10</v>
      </c>
      <c r="C17" s="16"/>
      <c r="D17" s="17"/>
      <c r="E17" s="17"/>
      <c r="F17" s="17"/>
      <c r="G17" s="17"/>
      <c r="H17" s="17"/>
      <c r="I17" s="17"/>
      <c r="J17" s="17"/>
      <c r="K17" s="17"/>
      <c r="L17" s="21">
        <v>38336</v>
      </c>
      <c r="M17" s="9"/>
      <c r="N17" s="6"/>
    </row>
    <row r="18" spans="1:14" ht="15.75">
      <c r="A18" s="7"/>
      <c r="B18" s="9"/>
      <c r="C18" s="9"/>
      <c r="D18" s="9"/>
      <c r="E18" s="9"/>
      <c r="F18" s="9"/>
      <c r="G18" s="9"/>
      <c r="H18" s="9"/>
      <c r="I18" s="9"/>
      <c r="J18" s="9"/>
      <c r="K18" s="9"/>
      <c r="L18" s="22"/>
      <c r="M18" s="9"/>
      <c r="N18" s="6"/>
    </row>
    <row r="19" spans="1:14" ht="15.75">
      <c r="A19" s="7"/>
      <c r="B19" s="23" t="s">
        <v>11</v>
      </c>
      <c r="C19" s="9"/>
      <c r="D19" s="9"/>
      <c r="E19" s="9"/>
      <c r="F19" s="9"/>
      <c r="G19" s="9"/>
      <c r="H19" s="9"/>
      <c r="I19" s="9"/>
      <c r="J19" s="22"/>
      <c r="K19" s="9"/>
      <c r="L19" s="14"/>
      <c r="M19" s="9"/>
      <c r="N19" s="6"/>
    </row>
    <row r="20" spans="1:14" ht="15.75">
      <c r="A20" s="7"/>
      <c r="B20" s="9"/>
      <c r="C20" s="9"/>
      <c r="D20" s="9"/>
      <c r="E20" s="9"/>
      <c r="F20" s="9"/>
      <c r="G20" s="9"/>
      <c r="H20" s="9"/>
      <c r="I20" s="9"/>
      <c r="J20" s="9"/>
      <c r="K20" s="9"/>
      <c r="L20" s="24"/>
      <c r="M20" s="9"/>
      <c r="N20" s="6"/>
    </row>
    <row r="21" spans="1:14" ht="15.75">
      <c r="A21" s="7"/>
      <c r="B21" s="9"/>
      <c r="C21" s="159" t="s">
        <v>137</v>
      </c>
      <c r="D21" s="161" t="s">
        <v>142</v>
      </c>
      <c r="E21" s="161"/>
      <c r="F21" s="161" t="s">
        <v>158</v>
      </c>
      <c r="G21" s="161"/>
      <c r="H21" s="161" t="s">
        <v>169</v>
      </c>
      <c r="I21" s="26"/>
      <c r="J21" s="27"/>
      <c r="K21" s="14"/>
      <c r="L21" s="14"/>
      <c r="M21" s="9"/>
      <c r="N21" s="6"/>
    </row>
    <row r="22" spans="1:14" ht="15.75">
      <c r="A22" s="28"/>
      <c r="B22" s="29" t="s">
        <v>12</v>
      </c>
      <c r="C22" s="160" t="s">
        <v>138</v>
      </c>
      <c r="D22" s="31" t="s">
        <v>143</v>
      </c>
      <c r="E22" s="31"/>
      <c r="F22" s="31" t="s">
        <v>159</v>
      </c>
      <c r="G22" s="31"/>
      <c r="H22" s="31" t="s">
        <v>170</v>
      </c>
      <c r="I22" s="31"/>
      <c r="J22" s="31"/>
      <c r="K22" s="32"/>
      <c r="L22" s="32"/>
      <c r="M22" s="29"/>
      <c r="N22" s="6"/>
    </row>
    <row r="23" spans="1:14" ht="15.75">
      <c r="A23" s="28"/>
      <c r="B23" s="29" t="s">
        <v>13</v>
      </c>
      <c r="C23" s="30"/>
      <c r="D23" s="31" t="s">
        <v>144</v>
      </c>
      <c r="E23" s="31"/>
      <c r="F23" s="31" t="s">
        <v>160</v>
      </c>
      <c r="G23" s="31"/>
      <c r="H23" s="31" t="s">
        <v>171</v>
      </c>
      <c r="I23" s="31"/>
      <c r="J23" s="31"/>
      <c r="K23" s="32"/>
      <c r="L23" s="32"/>
      <c r="M23" s="29"/>
      <c r="N23" s="6"/>
    </row>
    <row r="24" spans="1:14" ht="15.75">
      <c r="A24" s="28"/>
      <c r="B24" s="33" t="s">
        <v>14</v>
      </c>
      <c r="C24" s="33"/>
      <c r="D24" s="34" t="s">
        <v>143</v>
      </c>
      <c r="E24" s="34"/>
      <c r="F24" s="34" t="s">
        <v>159</v>
      </c>
      <c r="G24" s="34"/>
      <c r="H24" s="34" t="s">
        <v>170</v>
      </c>
      <c r="I24" s="34"/>
      <c r="J24" s="34"/>
      <c r="K24" s="35"/>
      <c r="L24" s="32"/>
      <c r="M24" s="29"/>
      <c r="N24" s="6"/>
    </row>
    <row r="25" spans="1:14" ht="15.75">
      <c r="A25" s="28"/>
      <c r="B25" s="33" t="s">
        <v>15</v>
      </c>
      <c r="C25" s="33"/>
      <c r="D25" s="34" t="s">
        <v>144</v>
      </c>
      <c r="E25" s="34"/>
      <c r="F25" s="34" t="s">
        <v>160</v>
      </c>
      <c r="G25" s="34"/>
      <c r="H25" s="34" t="s">
        <v>171</v>
      </c>
      <c r="I25" s="34"/>
      <c r="J25" s="34"/>
      <c r="K25" s="35"/>
      <c r="L25" s="32"/>
      <c r="M25" s="29"/>
      <c r="N25" s="6"/>
    </row>
    <row r="26" spans="1:14" ht="15.75">
      <c r="A26" s="28"/>
      <c r="B26" s="29" t="s">
        <v>16</v>
      </c>
      <c r="C26" s="29"/>
      <c r="D26" s="36" t="s">
        <v>145</v>
      </c>
      <c r="E26" s="31"/>
      <c r="F26" s="36" t="s">
        <v>161</v>
      </c>
      <c r="G26" s="31"/>
      <c r="H26" s="36" t="s">
        <v>172</v>
      </c>
      <c r="I26" s="31"/>
      <c r="J26" s="36"/>
      <c r="K26" s="32"/>
      <c r="L26" s="32"/>
      <c r="M26" s="29"/>
      <c r="N26" s="6"/>
    </row>
    <row r="27" spans="1:14" ht="15.75">
      <c r="A27" s="28"/>
      <c r="B27" s="29"/>
      <c r="C27" s="29"/>
      <c r="D27" s="29"/>
      <c r="E27" s="31"/>
      <c r="F27" s="31"/>
      <c r="G27" s="31"/>
      <c r="H27" s="31"/>
      <c r="I27" s="31"/>
      <c r="J27" s="31"/>
      <c r="K27" s="32"/>
      <c r="L27" s="32"/>
      <c r="M27" s="29"/>
      <c r="N27" s="6"/>
    </row>
    <row r="28" spans="1:14" ht="15.75">
      <c r="A28" s="28"/>
      <c r="B28" s="29" t="s">
        <v>17</v>
      </c>
      <c r="C28" s="29"/>
      <c r="D28" s="37">
        <v>178210</v>
      </c>
      <c r="E28" s="38"/>
      <c r="F28" s="37">
        <v>51450</v>
      </c>
      <c r="G28" s="37"/>
      <c r="H28" s="37">
        <v>21340</v>
      </c>
      <c r="I28" s="37"/>
      <c r="J28" s="37"/>
      <c r="K28" s="39"/>
      <c r="L28" s="37">
        <f>J28+H28+F28+D28</f>
        <v>251000</v>
      </c>
      <c r="M28" s="40"/>
      <c r="N28" s="6"/>
    </row>
    <row r="29" spans="1:14" ht="15.75">
      <c r="A29" s="28"/>
      <c r="B29" s="29" t="s">
        <v>18</v>
      </c>
      <c r="C29" s="44">
        <v>1</v>
      </c>
      <c r="D29" s="37">
        <v>178210</v>
      </c>
      <c r="E29" s="38"/>
      <c r="F29" s="37">
        <v>51450</v>
      </c>
      <c r="G29" s="37"/>
      <c r="H29" s="37">
        <v>21340</v>
      </c>
      <c r="I29" s="42"/>
      <c r="J29" s="37"/>
      <c r="K29" s="39"/>
      <c r="L29" s="37">
        <f>J29+H29+F29+D29</f>
        <v>251000</v>
      </c>
      <c r="M29" s="40"/>
      <c r="N29" s="6"/>
    </row>
    <row r="30" spans="1:14" ht="15.75">
      <c r="A30" s="43"/>
      <c r="B30" s="33" t="s">
        <v>19</v>
      </c>
      <c r="C30" s="44">
        <v>1</v>
      </c>
      <c r="D30" s="45">
        <v>178210</v>
      </c>
      <c r="E30" s="46"/>
      <c r="F30" s="45">
        <v>51450</v>
      </c>
      <c r="G30" s="45"/>
      <c r="H30" s="45">
        <v>21340</v>
      </c>
      <c r="I30" s="45"/>
      <c r="J30" s="45"/>
      <c r="K30" s="47"/>
      <c r="L30" s="45">
        <f>J30+H30+F30+D30</f>
        <v>251000</v>
      </c>
      <c r="M30" s="29"/>
      <c r="N30" s="6"/>
    </row>
    <row r="31" spans="1:14" ht="15.75">
      <c r="A31" s="28"/>
      <c r="B31" s="29" t="s">
        <v>20</v>
      </c>
      <c r="C31" s="155"/>
      <c r="D31" s="36" t="s">
        <v>146</v>
      </c>
      <c r="E31" s="29"/>
      <c r="F31" s="36" t="s">
        <v>162</v>
      </c>
      <c r="G31" s="36"/>
      <c r="H31" s="36" t="s">
        <v>173</v>
      </c>
      <c r="I31" s="36"/>
      <c r="J31" s="36"/>
      <c r="K31" s="32"/>
      <c r="L31" s="32"/>
      <c r="M31" s="29"/>
      <c r="N31" s="6"/>
    </row>
    <row r="32" spans="1:14" ht="15.75">
      <c r="A32" s="28"/>
      <c r="B32" s="29" t="s">
        <v>21</v>
      </c>
      <c r="C32" s="155"/>
      <c r="D32" s="49">
        <v>0.0523938</v>
      </c>
      <c r="E32" s="50"/>
      <c r="F32" s="49">
        <v>0.0579938</v>
      </c>
      <c r="G32" s="49"/>
      <c r="H32" s="49">
        <v>0.0719938</v>
      </c>
      <c r="I32" s="51"/>
      <c r="J32" s="49"/>
      <c r="K32" s="32"/>
      <c r="L32" s="51">
        <f>SUMPRODUCT(D32:J32,D30:J30)/L30</f>
        <v>0.055208078884462136</v>
      </c>
      <c r="M32" s="29"/>
      <c r="N32" s="6"/>
    </row>
    <row r="33" spans="1:14" ht="15.75">
      <c r="A33" s="28"/>
      <c r="B33" s="29" t="s">
        <v>22</v>
      </c>
      <c r="C33" s="155"/>
      <c r="D33" s="49">
        <v>0.0511375</v>
      </c>
      <c r="E33" s="50"/>
      <c r="F33" s="49">
        <v>0.0567375</v>
      </c>
      <c r="G33" s="49"/>
      <c r="H33" s="49">
        <v>0.0707375</v>
      </c>
      <c r="I33" s="51"/>
      <c r="J33" s="49"/>
      <c r="K33" s="32"/>
      <c r="L33" s="32"/>
      <c r="M33" s="29"/>
      <c r="N33" s="6"/>
    </row>
    <row r="34" spans="1:14" ht="15.75">
      <c r="A34" s="28"/>
      <c r="B34" s="29" t="s">
        <v>23</v>
      </c>
      <c r="C34" s="155"/>
      <c r="D34" s="36" t="s">
        <v>147</v>
      </c>
      <c r="E34" s="29"/>
      <c r="F34" s="36" t="s">
        <v>147</v>
      </c>
      <c r="G34" s="36"/>
      <c r="H34" s="36" t="s">
        <v>147</v>
      </c>
      <c r="I34" s="36"/>
      <c r="J34" s="36"/>
      <c r="K34" s="32"/>
      <c r="L34" s="32"/>
      <c r="M34" s="29"/>
      <c r="N34" s="6"/>
    </row>
    <row r="35" spans="1:14" ht="15.75">
      <c r="A35" s="28"/>
      <c r="B35" s="29" t="s">
        <v>24</v>
      </c>
      <c r="C35" s="29"/>
      <c r="D35" s="52">
        <v>39248</v>
      </c>
      <c r="E35" s="29"/>
      <c r="F35" s="52">
        <v>39248</v>
      </c>
      <c r="G35" s="52"/>
      <c r="H35" s="52">
        <v>39248</v>
      </c>
      <c r="I35" s="36"/>
      <c r="J35" s="36"/>
      <c r="K35" s="32"/>
      <c r="L35" s="32"/>
      <c r="M35" s="29"/>
      <c r="N35" s="6"/>
    </row>
    <row r="36" spans="1:14" ht="15.75">
      <c r="A36" s="28"/>
      <c r="B36" s="29" t="s">
        <v>25</v>
      </c>
      <c r="C36" s="29"/>
      <c r="D36" s="36" t="s">
        <v>148</v>
      </c>
      <c r="E36" s="29"/>
      <c r="F36" s="36" t="s">
        <v>163</v>
      </c>
      <c r="G36" s="36"/>
      <c r="H36" s="36" t="s">
        <v>174</v>
      </c>
      <c r="I36" s="36"/>
      <c r="J36" s="36"/>
      <c r="K36" s="32"/>
      <c r="L36" s="32"/>
      <c r="M36" s="29"/>
      <c r="N36" s="6"/>
    </row>
    <row r="37" spans="1:14" ht="15.75">
      <c r="A37" s="28"/>
      <c r="B37" s="29"/>
      <c r="C37" s="29"/>
      <c r="D37" s="53"/>
      <c r="E37" s="53"/>
      <c r="F37" s="50"/>
      <c r="G37" s="53"/>
      <c r="H37" s="142"/>
      <c r="I37" s="53"/>
      <c r="J37" s="53"/>
      <c r="K37" s="53"/>
      <c r="L37" s="53"/>
      <c r="M37" s="29"/>
      <c r="N37" s="6"/>
    </row>
    <row r="38" spans="1:14" ht="15.75">
      <c r="A38" s="28"/>
      <c r="B38" s="29" t="s">
        <v>26</v>
      </c>
      <c r="C38" s="29"/>
      <c r="D38" s="29"/>
      <c r="E38" s="29"/>
      <c r="F38" s="50"/>
      <c r="G38" s="29"/>
      <c r="H38" s="50"/>
      <c r="I38" s="29"/>
      <c r="J38" s="29"/>
      <c r="K38" s="29"/>
      <c r="L38" s="51">
        <f>(H28+F28)/(D28)</f>
        <v>0.4084507042253521</v>
      </c>
      <c r="M38" s="29"/>
      <c r="N38" s="6"/>
    </row>
    <row r="39" spans="1:14" ht="15.75">
      <c r="A39" s="28"/>
      <c r="B39" s="29" t="s">
        <v>27</v>
      </c>
      <c r="C39" s="29"/>
      <c r="D39" s="50"/>
      <c r="E39" s="29"/>
      <c r="F39" s="50"/>
      <c r="G39" s="29"/>
      <c r="H39" s="50"/>
      <c r="I39" s="29"/>
      <c r="J39" s="29"/>
      <c r="K39" s="29"/>
      <c r="L39" s="51">
        <f>(H30+F30)/(D30)</f>
        <v>0.4084507042253521</v>
      </c>
      <c r="M39" s="29"/>
      <c r="N39" s="6"/>
    </row>
    <row r="40" spans="1:14" ht="15.75">
      <c r="A40" s="28"/>
      <c r="B40" s="29" t="s">
        <v>28</v>
      </c>
      <c r="C40" s="29"/>
      <c r="D40" s="29"/>
      <c r="E40" s="29"/>
      <c r="F40" s="50"/>
      <c r="G40" s="29"/>
      <c r="H40" s="50"/>
      <c r="I40" s="29"/>
      <c r="J40" s="36" t="s">
        <v>142</v>
      </c>
      <c r="K40" s="36" t="s">
        <v>185</v>
      </c>
      <c r="L40" s="37">
        <v>38766</v>
      </c>
      <c r="M40" s="29"/>
      <c r="N40" s="6"/>
    </row>
    <row r="41" spans="1:14" ht="15.75">
      <c r="A41" s="28"/>
      <c r="B41" s="29"/>
      <c r="C41" s="29"/>
      <c r="D41" s="50"/>
      <c r="E41" s="29"/>
      <c r="F41" s="50"/>
      <c r="G41" s="29"/>
      <c r="H41" s="29"/>
      <c r="I41" s="29"/>
      <c r="J41" s="29" t="s">
        <v>177</v>
      </c>
      <c r="K41" s="29"/>
      <c r="L41" s="54"/>
      <c r="M41" s="29"/>
      <c r="N41" s="6"/>
    </row>
    <row r="42" spans="1:14" ht="15.75">
      <c r="A42" s="28"/>
      <c r="B42" s="29" t="s">
        <v>29</v>
      </c>
      <c r="C42" s="29"/>
      <c r="D42" s="29"/>
      <c r="E42" s="29"/>
      <c r="F42" s="29"/>
      <c r="G42" s="29"/>
      <c r="H42" s="29"/>
      <c r="I42" s="29"/>
      <c r="J42" s="36"/>
      <c r="K42" s="36"/>
      <c r="L42" s="36" t="s">
        <v>187</v>
      </c>
      <c r="M42" s="29"/>
      <c r="N42" s="6"/>
    </row>
    <row r="43" spans="1:14" ht="15.75">
      <c r="A43" s="43"/>
      <c r="B43" s="33" t="s">
        <v>30</v>
      </c>
      <c r="C43" s="33"/>
      <c r="D43" s="33"/>
      <c r="E43" s="33"/>
      <c r="F43" s="33"/>
      <c r="G43" s="33"/>
      <c r="H43" s="33"/>
      <c r="I43" s="33"/>
      <c r="J43" s="55"/>
      <c r="K43" s="55"/>
      <c r="L43" s="56">
        <v>38336</v>
      </c>
      <c r="M43" s="33"/>
      <c r="N43" s="6"/>
    </row>
    <row r="44" spans="1:14" ht="15.75">
      <c r="A44" s="28"/>
      <c r="B44" s="29" t="s">
        <v>31</v>
      </c>
      <c r="C44" s="29"/>
      <c r="D44" s="29"/>
      <c r="E44" s="29"/>
      <c r="F44" s="29"/>
      <c r="G44" s="29"/>
      <c r="H44" s="32"/>
      <c r="I44" s="29">
        <f>L44-J44+1</f>
        <v>92</v>
      </c>
      <c r="J44" s="58">
        <v>38153</v>
      </c>
      <c r="K44" s="59"/>
      <c r="L44" s="58">
        <v>38244</v>
      </c>
      <c r="M44" s="29"/>
      <c r="N44" s="6"/>
    </row>
    <row r="45" spans="1:14" ht="15.75">
      <c r="A45" s="28"/>
      <c r="B45" s="29" t="s">
        <v>32</v>
      </c>
      <c r="C45" s="29"/>
      <c r="D45" s="29"/>
      <c r="E45" s="29"/>
      <c r="F45" s="29"/>
      <c r="G45" s="29"/>
      <c r="H45" s="32"/>
      <c r="I45" s="29">
        <f>L45-J45+1</f>
        <v>91</v>
      </c>
      <c r="J45" s="58">
        <v>38245</v>
      </c>
      <c r="K45" s="59"/>
      <c r="L45" s="58">
        <v>38335</v>
      </c>
      <c r="M45" s="29"/>
      <c r="N45" s="6"/>
    </row>
    <row r="46" spans="1:14" ht="15.75">
      <c r="A46" s="28"/>
      <c r="B46" s="29" t="s">
        <v>33</v>
      </c>
      <c r="C46" s="29"/>
      <c r="D46" s="29"/>
      <c r="E46" s="29"/>
      <c r="F46" s="29"/>
      <c r="G46" s="29"/>
      <c r="H46" s="29"/>
      <c r="I46" s="29"/>
      <c r="J46" s="58"/>
      <c r="K46" s="59"/>
      <c r="L46" s="58" t="s">
        <v>202</v>
      </c>
      <c r="M46" s="29"/>
      <c r="N46" s="6"/>
    </row>
    <row r="47" spans="1:14" ht="15.75">
      <c r="A47" s="28"/>
      <c r="B47" s="29" t="s">
        <v>34</v>
      </c>
      <c r="C47" s="29"/>
      <c r="D47" s="29"/>
      <c r="E47" s="29"/>
      <c r="F47" s="29"/>
      <c r="G47" s="29"/>
      <c r="H47" s="29"/>
      <c r="I47" s="29"/>
      <c r="J47" s="58"/>
      <c r="K47" s="59"/>
      <c r="L47" s="58">
        <v>38324</v>
      </c>
      <c r="M47" s="29"/>
      <c r="N47" s="6"/>
    </row>
    <row r="48" spans="1:14" ht="15.75">
      <c r="A48" s="28"/>
      <c r="B48" s="29"/>
      <c r="C48" s="29"/>
      <c r="D48" s="29"/>
      <c r="E48" s="29"/>
      <c r="F48" s="29"/>
      <c r="G48" s="29"/>
      <c r="H48" s="29"/>
      <c r="I48" s="29"/>
      <c r="J48" s="29"/>
      <c r="K48" s="29"/>
      <c r="L48" s="60"/>
      <c r="M48" s="29"/>
      <c r="N48" s="6"/>
    </row>
    <row r="49" spans="1:14" ht="15.75">
      <c r="A49" s="7"/>
      <c r="B49" s="9"/>
      <c r="C49" s="9"/>
      <c r="D49" s="9"/>
      <c r="E49" s="9"/>
      <c r="F49" s="9"/>
      <c r="G49" s="9"/>
      <c r="H49" s="9"/>
      <c r="I49" s="9"/>
      <c r="J49" s="9"/>
      <c r="K49" s="9"/>
      <c r="L49" s="61"/>
      <c r="M49" s="9"/>
      <c r="N49" s="6"/>
    </row>
    <row r="50" spans="1:14" ht="16.5" thickBot="1">
      <c r="A50" s="144"/>
      <c r="B50" s="145" t="s">
        <v>206</v>
      </c>
      <c r="C50" s="146"/>
      <c r="D50" s="146"/>
      <c r="E50" s="146"/>
      <c r="F50" s="146"/>
      <c r="G50" s="146"/>
      <c r="H50" s="146"/>
      <c r="I50" s="146"/>
      <c r="J50" s="146"/>
      <c r="K50" s="146"/>
      <c r="L50" s="147"/>
      <c r="M50" s="148"/>
      <c r="N50" s="6"/>
    </row>
    <row r="51" spans="1:14" ht="15.75">
      <c r="A51" s="2"/>
      <c r="B51" s="5"/>
      <c r="C51" s="5"/>
      <c r="D51" s="5"/>
      <c r="E51" s="5"/>
      <c r="F51" s="5"/>
      <c r="G51" s="5"/>
      <c r="H51" s="5"/>
      <c r="I51" s="5"/>
      <c r="J51" s="5"/>
      <c r="K51" s="5"/>
      <c r="L51" s="62"/>
      <c r="M51" s="5"/>
      <c r="N51" s="6"/>
    </row>
    <row r="52" spans="1:14" ht="15.75">
      <c r="A52" s="7"/>
      <c r="B52" s="63" t="s">
        <v>36</v>
      </c>
      <c r="C52" s="15"/>
      <c r="D52" s="9"/>
      <c r="E52" s="9"/>
      <c r="F52" s="9"/>
      <c r="G52" s="9"/>
      <c r="H52" s="9"/>
      <c r="I52" s="9"/>
      <c r="J52" s="9"/>
      <c r="K52" s="9"/>
      <c r="L52" s="64"/>
      <c r="M52" s="9"/>
      <c r="N52" s="6"/>
    </row>
    <row r="53" spans="1:14" ht="15.75">
      <c r="A53" s="7"/>
      <c r="B53" s="15"/>
      <c r="C53" s="15"/>
      <c r="D53" s="9"/>
      <c r="E53" s="9"/>
      <c r="F53" s="9"/>
      <c r="G53" s="9"/>
      <c r="H53" s="9"/>
      <c r="I53" s="9"/>
      <c r="J53" s="9"/>
      <c r="K53" s="9"/>
      <c r="L53" s="64"/>
      <c r="M53" s="9"/>
      <c r="N53" s="6"/>
    </row>
    <row r="54" spans="1:14" ht="47.25">
      <c r="A54" s="7"/>
      <c r="B54" s="65"/>
      <c r="C54" s="162" t="s">
        <v>139</v>
      </c>
      <c r="D54" s="162" t="s">
        <v>149</v>
      </c>
      <c r="E54" s="162"/>
      <c r="F54" s="162" t="s">
        <v>164</v>
      </c>
      <c r="G54" s="162"/>
      <c r="H54" s="162" t="s">
        <v>175</v>
      </c>
      <c r="I54" s="162"/>
      <c r="J54" s="162" t="s">
        <v>178</v>
      </c>
      <c r="K54" s="162"/>
      <c r="L54" s="163" t="s">
        <v>189</v>
      </c>
      <c r="M54" s="158"/>
      <c r="N54" s="6"/>
    </row>
    <row r="55" spans="1:14" ht="15.75">
      <c r="A55" s="28"/>
      <c r="B55" s="29" t="s">
        <v>37</v>
      </c>
      <c r="C55" s="66">
        <f>81776+9633</f>
        <v>91409</v>
      </c>
      <c r="D55" s="66">
        <v>49978</v>
      </c>
      <c r="E55" s="66"/>
      <c r="F55" s="66">
        <f>1889+1573+7+28+129+4</f>
        <v>3630</v>
      </c>
      <c r="G55" s="66"/>
      <c r="H55" s="66">
        <v>0</v>
      </c>
      <c r="I55" s="66"/>
      <c r="J55" s="66">
        <v>0</v>
      </c>
      <c r="K55" s="66"/>
      <c r="L55" s="67">
        <f>D55-F55+H55-J55</f>
        <v>46348</v>
      </c>
      <c r="M55" s="29"/>
      <c r="N55" s="6"/>
    </row>
    <row r="56" spans="1:14" ht="15.75">
      <c r="A56" s="28"/>
      <c r="B56" s="29" t="s">
        <v>38</v>
      </c>
      <c r="C56" s="66">
        <v>1</v>
      </c>
      <c r="D56" s="66">
        <v>0</v>
      </c>
      <c r="E56" s="66"/>
      <c r="F56" s="66"/>
      <c r="G56" s="66"/>
      <c r="H56" s="66">
        <v>0</v>
      </c>
      <c r="I56" s="66"/>
      <c r="J56" s="66">
        <v>0</v>
      </c>
      <c r="K56" s="66"/>
      <c r="L56" s="67">
        <f>D56-F56</f>
        <v>0</v>
      </c>
      <c r="M56" s="29"/>
      <c r="N56" s="6"/>
    </row>
    <row r="57" spans="1:14" ht="15.75">
      <c r="A57" s="28"/>
      <c r="B57" s="29"/>
      <c r="C57" s="66"/>
      <c r="D57" s="66"/>
      <c r="E57" s="66"/>
      <c r="F57" s="66"/>
      <c r="G57" s="66"/>
      <c r="H57" s="66"/>
      <c r="I57" s="66"/>
      <c r="J57" s="66"/>
      <c r="K57" s="66"/>
      <c r="L57" s="67"/>
      <c r="M57" s="29"/>
      <c r="N57" s="6"/>
    </row>
    <row r="58" spans="1:14" ht="15.75">
      <c r="A58" s="28"/>
      <c r="B58" s="29" t="s">
        <v>39</v>
      </c>
      <c r="C58" s="66">
        <f>59449+801</f>
        <v>60250</v>
      </c>
      <c r="D58" s="66">
        <v>14318</v>
      </c>
      <c r="E58" s="66"/>
      <c r="F58" s="66">
        <f>3595+43</f>
        <v>3638</v>
      </c>
      <c r="G58" s="66"/>
      <c r="H58" s="66">
        <v>3983</v>
      </c>
      <c r="I58" s="66"/>
      <c r="J58" s="66">
        <f>SUM(J55:J57)</f>
        <v>0</v>
      </c>
      <c r="K58" s="66"/>
      <c r="L58" s="67">
        <f>D58-F58+H58-J58</f>
        <v>14663</v>
      </c>
      <c r="M58" s="29"/>
      <c r="N58" s="6"/>
    </row>
    <row r="59" spans="1:15" ht="15.75">
      <c r="A59" s="28"/>
      <c r="B59" s="29" t="s">
        <v>38</v>
      </c>
      <c r="C59" s="66">
        <v>136</v>
      </c>
      <c r="D59" s="66"/>
      <c r="E59" s="66"/>
      <c r="F59" s="66"/>
      <c r="G59" s="66"/>
      <c r="H59" s="66">
        <v>0</v>
      </c>
      <c r="I59" s="66"/>
      <c r="J59" s="66">
        <v>0</v>
      </c>
      <c r="K59" s="66"/>
      <c r="L59" s="68"/>
      <c r="M59" s="29"/>
      <c r="N59" s="6"/>
      <c r="O59" s="179"/>
    </row>
    <row r="60" spans="1:14" ht="15.75">
      <c r="A60" s="28"/>
      <c r="B60" s="69"/>
      <c r="C60" s="66"/>
      <c r="D60" s="66"/>
      <c r="E60" s="66"/>
      <c r="F60" s="70"/>
      <c r="G60" s="66"/>
      <c r="H60" s="66"/>
      <c r="I60" s="66"/>
      <c r="J60" s="66"/>
      <c r="K60" s="66"/>
      <c r="L60" s="68"/>
      <c r="M60" s="29"/>
      <c r="N60" s="6"/>
    </row>
    <row r="61" spans="1:14" ht="15.75">
      <c r="A61" s="28"/>
      <c r="B61" s="29" t="s">
        <v>40</v>
      </c>
      <c r="C61" s="66">
        <v>25730</v>
      </c>
      <c r="D61" s="66">
        <v>102930</v>
      </c>
      <c r="E61" s="66"/>
      <c r="F61" s="66">
        <f>16702+31</f>
        <v>16733</v>
      </c>
      <c r="G61" s="66"/>
      <c r="H61" s="66">
        <f>21556+223</f>
        <v>21779</v>
      </c>
      <c r="I61" s="66"/>
      <c r="J61" s="66">
        <v>0</v>
      </c>
      <c r="K61" s="66"/>
      <c r="L61" s="67">
        <f>D61-F61+H61-J61</f>
        <v>107976</v>
      </c>
      <c r="M61" s="29"/>
      <c r="N61" s="6"/>
    </row>
    <row r="62" spans="1:14" ht="15.75">
      <c r="A62" s="28"/>
      <c r="B62" s="29" t="s">
        <v>38</v>
      </c>
      <c r="C62" s="66">
        <v>260</v>
      </c>
      <c r="D62" s="67">
        <v>0</v>
      </c>
      <c r="E62" s="66"/>
      <c r="F62" s="66"/>
      <c r="G62" s="66"/>
      <c r="H62" s="66">
        <v>0</v>
      </c>
      <c r="I62" s="66"/>
      <c r="J62" s="66">
        <v>0</v>
      </c>
      <c r="K62" s="66"/>
      <c r="L62" s="67">
        <f>D62-F62+H62-J62</f>
        <v>0</v>
      </c>
      <c r="M62" s="29"/>
      <c r="N62" s="6"/>
    </row>
    <row r="63" spans="1:14" ht="15.75">
      <c r="A63" s="28"/>
      <c r="B63" s="29"/>
      <c r="C63" s="66"/>
      <c r="D63" s="67"/>
      <c r="E63" s="66"/>
      <c r="F63" s="66"/>
      <c r="G63" s="66"/>
      <c r="H63" s="66"/>
      <c r="I63" s="66"/>
      <c r="J63" s="66"/>
      <c r="K63" s="66"/>
      <c r="L63" s="67"/>
      <c r="M63" s="29"/>
      <c r="N63" s="6"/>
    </row>
    <row r="64" spans="1:14" ht="15.75">
      <c r="A64" s="28"/>
      <c r="B64" s="29" t="s">
        <v>41</v>
      </c>
      <c r="C64" s="66">
        <v>26410</v>
      </c>
      <c r="D64" s="67">
        <v>45646</v>
      </c>
      <c r="E64" s="66"/>
      <c r="F64" s="66">
        <f>8970+257+72</f>
        <v>9299</v>
      </c>
      <c r="G64" s="66"/>
      <c r="H64" s="66">
        <f>2681+32598</f>
        <v>35279</v>
      </c>
      <c r="I64" s="66"/>
      <c r="J64" s="66">
        <v>0</v>
      </c>
      <c r="K64" s="66"/>
      <c r="L64" s="67">
        <f>D64-F64+H64-J64</f>
        <v>71626</v>
      </c>
      <c r="M64" s="29"/>
      <c r="N64" s="6"/>
    </row>
    <row r="65" spans="1:14" ht="15.75">
      <c r="A65" s="28"/>
      <c r="B65" s="29" t="s">
        <v>38</v>
      </c>
      <c r="C65" s="66">
        <v>229</v>
      </c>
      <c r="D65" s="67"/>
      <c r="E65" s="66"/>
      <c r="F65" s="66"/>
      <c r="G65" s="66"/>
      <c r="H65" s="66">
        <v>0</v>
      </c>
      <c r="I65" s="66"/>
      <c r="J65" s="66">
        <v>0</v>
      </c>
      <c r="K65" s="66"/>
      <c r="L65" s="67"/>
      <c r="M65" s="29"/>
      <c r="N65" s="6"/>
    </row>
    <row r="66" spans="1:14" ht="15.75">
      <c r="A66" s="28"/>
      <c r="B66" s="66"/>
      <c r="C66" s="66"/>
      <c r="D66" s="67"/>
      <c r="E66" s="66"/>
      <c r="F66" s="66"/>
      <c r="G66" s="66"/>
      <c r="H66" s="66"/>
      <c r="I66" s="66"/>
      <c r="J66" s="66"/>
      <c r="K66" s="66"/>
      <c r="L66" s="67"/>
      <c r="M66" s="29"/>
      <c r="N66" s="6"/>
    </row>
    <row r="67" spans="1:14" ht="15.75">
      <c r="A67" s="28"/>
      <c r="B67" s="29" t="s">
        <v>42</v>
      </c>
      <c r="C67" s="66">
        <f>SUM(C55:C65)</f>
        <v>204425</v>
      </c>
      <c r="D67" s="66">
        <f>SUM(D55:D64)</f>
        <v>212872</v>
      </c>
      <c r="E67" s="66"/>
      <c r="F67" s="66">
        <f>SUM(F55:F65)</f>
        <v>33300</v>
      </c>
      <c r="G67" s="66"/>
      <c r="H67" s="66">
        <f>SUM(H55:H65)</f>
        <v>61041</v>
      </c>
      <c r="I67" s="66"/>
      <c r="J67" s="66">
        <f>SUM(J62:J66)</f>
        <v>0</v>
      </c>
      <c r="K67" s="66"/>
      <c r="L67" s="66">
        <f>SUM(L55:L66)</f>
        <v>240613</v>
      </c>
      <c r="M67" s="29"/>
      <c r="N67" s="6"/>
    </row>
    <row r="68" spans="1:14" ht="15.75">
      <c r="A68" s="28"/>
      <c r="B68" s="29"/>
      <c r="C68" s="66"/>
      <c r="D68" s="68"/>
      <c r="E68" s="66"/>
      <c r="F68" s="66"/>
      <c r="G68" s="66"/>
      <c r="H68" s="66"/>
      <c r="I68" s="66"/>
      <c r="J68" s="66"/>
      <c r="K68" s="66"/>
      <c r="L68" s="68"/>
      <c r="M68" s="29"/>
      <c r="N68" s="6"/>
    </row>
    <row r="69" spans="1:14" ht="15.75">
      <c r="A69" s="28"/>
      <c r="B69" s="29" t="s">
        <v>43</v>
      </c>
      <c r="C69" s="66">
        <f>-1789-10434</f>
        <v>-12223</v>
      </c>
      <c r="D69" s="66">
        <v>-28919</v>
      </c>
      <c r="E69" s="66"/>
      <c r="F69" s="66">
        <v>300</v>
      </c>
      <c r="G69" s="66"/>
      <c r="H69" s="66"/>
      <c r="I69" s="66"/>
      <c r="J69" s="66"/>
      <c r="K69" s="66"/>
      <c r="L69" s="66">
        <f>D69-F69</f>
        <v>-29219</v>
      </c>
      <c r="M69" s="29"/>
      <c r="N69" s="6"/>
    </row>
    <row r="70" spans="1:15" ht="15.75">
      <c r="A70" s="28"/>
      <c r="B70" s="29" t="s">
        <v>44</v>
      </c>
      <c r="C70" s="66">
        <v>58798</v>
      </c>
      <c r="D70" s="68">
        <v>67047</v>
      </c>
      <c r="E70" s="66"/>
      <c r="F70" s="66">
        <f>SUM(F67:F69)</f>
        <v>33600</v>
      </c>
      <c r="G70" s="66"/>
      <c r="H70" s="66">
        <f>-H67</f>
        <v>-61041</v>
      </c>
      <c r="I70" s="66"/>
      <c r="J70" s="66"/>
      <c r="K70" s="66"/>
      <c r="L70" s="68">
        <f>D70+F70+H70+D73</f>
        <v>39606</v>
      </c>
      <c r="M70" s="29"/>
      <c r="N70" s="6"/>
      <c r="O70" s="72"/>
    </row>
    <row r="71" spans="1:14" ht="15.75">
      <c r="A71" s="28"/>
      <c r="B71" s="29" t="s">
        <v>45</v>
      </c>
      <c r="C71" s="66">
        <v>0</v>
      </c>
      <c r="D71" s="68">
        <v>0</v>
      </c>
      <c r="E71" s="66"/>
      <c r="F71" s="66"/>
      <c r="G71" s="66"/>
      <c r="H71" s="66">
        <v>0</v>
      </c>
      <c r="I71" s="66"/>
      <c r="J71" s="66"/>
      <c r="K71" s="66"/>
      <c r="L71" s="68">
        <f>H71+D71</f>
        <v>0</v>
      </c>
      <c r="M71" s="29"/>
      <c r="N71" s="6"/>
    </row>
    <row r="72" spans="1:14" ht="15.75">
      <c r="A72" s="28"/>
      <c r="B72" s="29" t="s">
        <v>46</v>
      </c>
      <c r="C72" s="66">
        <v>0</v>
      </c>
      <c r="D72" s="68">
        <v>0</v>
      </c>
      <c r="E72" s="66"/>
      <c r="F72" s="66">
        <v>0</v>
      </c>
      <c r="G72" s="66"/>
      <c r="H72" s="66"/>
      <c r="I72" s="66"/>
      <c r="J72" s="66"/>
      <c r="K72" s="66"/>
      <c r="L72" s="68">
        <f>D72+F72+H72</f>
        <v>0</v>
      </c>
      <c r="M72" s="29"/>
      <c r="N72" s="6"/>
    </row>
    <row r="73" spans="1:14" ht="15.75">
      <c r="A73" s="28"/>
      <c r="B73" s="29" t="s">
        <v>47</v>
      </c>
      <c r="C73" s="66">
        <v>0</v>
      </c>
      <c r="D73" s="68">
        <v>0</v>
      </c>
      <c r="E73" s="66"/>
      <c r="F73" s="66"/>
      <c r="G73" s="66"/>
      <c r="H73" s="156"/>
      <c r="I73" s="66"/>
      <c r="J73" s="66"/>
      <c r="K73" s="66"/>
      <c r="L73" s="68">
        <v>0</v>
      </c>
      <c r="M73" s="29"/>
      <c r="N73" s="6"/>
    </row>
    <row r="74" spans="1:14" ht="15.75">
      <c r="A74" s="28"/>
      <c r="B74" s="29" t="s">
        <v>19</v>
      </c>
      <c r="C74" s="68">
        <f>SUM(C67:C73)</f>
        <v>251000</v>
      </c>
      <c r="D74" s="68">
        <f>SUM(D67:D73)</f>
        <v>251000</v>
      </c>
      <c r="E74" s="66"/>
      <c r="F74" s="66">
        <f>F70-F73-F72</f>
        <v>33600</v>
      </c>
      <c r="G74" s="66"/>
      <c r="H74" s="66"/>
      <c r="I74" s="66"/>
      <c r="J74" s="66"/>
      <c r="K74" s="66"/>
      <c r="L74" s="68">
        <f>SUM(L67:L73)</f>
        <v>251000</v>
      </c>
      <c r="M74" s="29"/>
      <c r="N74" s="6"/>
    </row>
    <row r="75" spans="1:14" ht="15.75">
      <c r="A75" s="28"/>
      <c r="B75" s="66"/>
      <c r="C75" s="29"/>
      <c r="D75" s="29"/>
      <c r="E75" s="29"/>
      <c r="F75" s="29"/>
      <c r="G75" s="29"/>
      <c r="H75" s="29"/>
      <c r="I75" s="29"/>
      <c r="J75" s="36"/>
      <c r="K75" s="29"/>
      <c r="L75" s="36"/>
      <c r="M75" s="29"/>
      <c r="N75" s="6"/>
    </row>
    <row r="76" spans="1:14" ht="15.75">
      <c r="A76" s="7"/>
      <c r="B76" s="63" t="s">
        <v>48</v>
      </c>
      <c r="C76" s="16"/>
      <c r="D76" s="16"/>
      <c r="E76" s="16"/>
      <c r="F76" s="16"/>
      <c r="G76" s="16"/>
      <c r="H76" s="16"/>
      <c r="I76" s="19"/>
      <c r="J76" s="19"/>
      <c r="K76" s="19"/>
      <c r="L76" s="19" t="s">
        <v>190</v>
      </c>
      <c r="M76" s="16"/>
      <c r="N76" s="6"/>
    </row>
    <row r="77" spans="1:14" ht="15.75">
      <c r="A77" s="28"/>
      <c r="B77" s="29" t="s">
        <v>49</v>
      </c>
      <c r="C77" s="29"/>
      <c r="D77" s="29"/>
      <c r="E77" s="29"/>
      <c r="F77" s="29"/>
      <c r="G77" s="29"/>
      <c r="H77" s="29"/>
      <c r="I77" s="29"/>
      <c r="J77" s="66"/>
      <c r="K77" s="29"/>
      <c r="L77" s="67">
        <v>56397</v>
      </c>
      <c r="M77" s="29"/>
      <c r="N77" s="6"/>
    </row>
    <row r="78" spans="1:14" ht="15.75">
      <c r="A78" s="28"/>
      <c r="B78" s="29" t="s">
        <v>50</v>
      </c>
      <c r="C78" s="53"/>
      <c r="D78" s="57"/>
      <c r="E78" s="29"/>
      <c r="F78" s="29"/>
      <c r="G78" s="29"/>
      <c r="H78" s="29"/>
      <c r="I78" s="29"/>
      <c r="J78" s="66"/>
      <c r="K78" s="29"/>
      <c r="L78" s="67">
        <f>797+54-3+155</f>
        <v>1003</v>
      </c>
      <c r="M78" s="29"/>
      <c r="N78" s="6"/>
    </row>
    <row r="79" spans="1:14" ht="15.75">
      <c r="A79" s="28"/>
      <c r="B79" s="29" t="s">
        <v>51</v>
      </c>
      <c r="C79" s="53"/>
      <c r="D79" s="57"/>
      <c r="E79" s="29"/>
      <c r="F79" s="29"/>
      <c r="G79" s="29"/>
      <c r="H79" s="29"/>
      <c r="I79" s="29"/>
      <c r="J79" s="66"/>
      <c r="K79" s="29"/>
      <c r="L79" s="67">
        <v>-10793</v>
      </c>
      <c r="M79" s="29"/>
      <c r="N79" s="6"/>
    </row>
    <row r="80" spans="1:14" ht="15.75">
      <c r="A80" s="28"/>
      <c r="B80" s="29" t="s">
        <v>192</v>
      </c>
      <c r="C80" s="53"/>
      <c r="D80" s="57"/>
      <c r="E80" s="29"/>
      <c r="F80" s="29"/>
      <c r="G80" s="29"/>
      <c r="H80" s="29"/>
      <c r="I80" s="29"/>
      <c r="J80" s="66"/>
      <c r="K80" s="29"/>
      <c r="L80" s="67">
        <v>-21</v>
      </c>
      <c r="M80" s="29"/>
      <c r="N80" s="6"/>
    </row>
    <row r="81" spans="1:14" ht="15.75">
      <c r="A81" s="28"/>
      <c r="B81" s="29" t="s">
        <v>205</v>
      </c>
      <c r="C81" s="29"/>
      <c r="D81" s="29"/>
      <c r="E81" s="29"/>
      <c r="F81" s="29"/>
      <c r="G81" s="29"/>
      <c r="H81" s="29"/>
      <c r="I81" s="29"/>
      <c r="J81" s="66"/>
      <c r="K81" s="29"/>
      <c r="L81" s="67">
        <v>0</v>
      </c>
      <c r="M81" s="29"/>
      <c r="N81" s="6"/>
    </row>
    <row r="82" spans="1:14" ht="15.75">
      <c r="A82" s="28"/>
      <c r="B82" s="29" t="s">
        <v>53</v>
      </c>
      <c r="C82" s="29"/>
      <c r="D82" s="29"/>
      <c r="E82" s="29"/>
      <c r="F82" s="29"/>
      <c r="G82" s="29"/>
      <c r="H82" s="29"/>
      <c r="I82" s="29"/>
      <c r="J82" s="66"/>
      <c r="K82" s="29"/>
      <c r="L82" s="67">
        <f>SUM(L77:L81)</f>
        <v>46586</v>
      </c>
      <c r="M82" s="29"/>
      <c r="N82" s="6"/>
    </row>
    <row r="83" spans="1:14" ht="15.75">
      <c r="A83" s="28"/>
      <c r="B83" s="29"/>
      <c r="C83" s="29"/>
      <c r="D83" s="29"/>
      <c r="E83" s="29"/>
      <c r="F83" s="29"/>
      <c r="G83" s="29"/>
      <c r="H83" s="29"/>
      <c r="I83" s="29"/>
      <c r="J83" s="66"/>
      <c r="K83" s="29"/>
      <c r="L83" s="68"/>
      <c r="M83" s="29"/>
      <c r="N83" s="6"/>
    </row>
    <row r="84" spans="1:14" ht="15.75">
      <c r="A84" s="28"/>
      <c r="B84" s="164" t="s">
        <v>54</v>
      </c>
      <c r="C84" s="73"/>
      <c r="D84" s="29"/>
      <c r="E84" s="29"/>
      <c r="F84" s="29"/>
      <c r="G84" s="29"/>
      <c r="H84" s="29"/>
      <c r="I84" s="29"/>
      <c r="J84" s="66"/>
      <c r="K84" s="29"/>
      <c r="L84" s="67"/>
      <c r="M84" s="29"/>
      <c r="N84" s="6"/>
    </row>
    <row r="85" spans="1:14" ht="15.75">
      <c r="A85" s="28">
        <v>1</v>
      </c>
      <c r="B85" s="29" t="s">
        <v>55</v>
      </c>
      <c r="C85" s="29"/>
      <c r="D85" s="29"/>
      <c r="E85" s="29"/>
      <c r="F85" s="29"/>
      <c r="G85" s="29"/>
      <c r="H85" s="29"/>
      <c r="I85" s="29"/>
      <c r="J85" s="29"/>
      <c r="K85" s="29"/>
      <c r="L85" s="67">
        <v>-4</v>
      </c>
      <c r="M85" s="29"/>
      <c r="N85" s="6"/>
    </row>
    <row r="86" spans="1:14" ht="15.75">
      <c r="A86" s="28">
        <f aca="true" t="shared" si="0" ref="A86:A94">A85+1</f>
        <v>2</v>
      </c>
      <c r="B86" s="29" t="s">
        <v>56</v>
      </c>
      <c r="C86" s="29"/>
      <c r="D86" s="29"/>
      <c r="E86" s="29"/>
      <c r="F86" s="29"/>
      <c r="G86" s="29"/>
      <c r="H86" s="29"/>
      <c r="I86" s="29"/>
      <c r="J86" s="29"/>
      <c r="K86" s="29"/>
      <c r="L86" s="67">
        <f>-453-98</f>
        <v>-551</v>
      </c>
      <c r="M86" s="29"/>
      <c r="N86" s="6"/>
    </row>
    <row r="87" spans="1:14" ht="15.75">
      <c r="A87" s="28">
        <f t="shared" si="0"/>
        <v>3</v>
      </c>
      <c r="B87" s="29" t="s">
        <v>57</v>
      </c>
      <c r="C87" s="29"/>
      <c r="D87" s="29"/>
      <c r="E87" s="29"/>
      <c r="F87" s="29"/>
      <c r="G87" s="29"/>
      <c r="H87" s="29"/>
      <c r="I87" s="29"/>
      <c r="J87" s="29"/>
      <c r="K87" s="29"/>
      <c r="L87" s="67">
        <v>-27</v>
      </c>
      <c r="M87" s="29"/>
      <c r="N87" s="6"/>
    </row>
    <row r="88" spans="1:14" ht="15.75">
      <c r="A88" s="28">
        <f t="shared" si="0"/>
        <v>4</v>
      </c>
      <c r="B88" s="29" t="s">
        <v>58</v>
      </c>
      <c r="C88" s="29"/>
      <c r="D88" s="29"/>
      <c r="E88" s="29"/>
      <c r="F88" s="29"/>
      <c r="G88" s="29"/>
      <c r="H88" s="29"/>
      <c r="I88" s="29"/>
      <c r="J88" s="29"/>
      <c r="K88" s="29"/>
      <c r="L88" s="67">
        <v>-2321</v>
      </c>
      <c r="M88" s="29"/>
      <c r="N88" s="6"/>
    </row>
    <row r="89" spans="1:14" ht="15.75">
      <c r="A89" s="28">
        <f t="shared" si="0"/>
        <v>5</v>
      </c>
      <c r="B89" s="29" t="s">
        <v>59</v>
      </c>
      <c r="C89" s="29"/>
      <c r="D89" s="29"/>
      <c r="E89" s="29"/>
      <c r="F89" s="29"/>
      <c r="G89" s="29"/>
      <c r="H89" s="29"/>
      <c r="I89" s="29"/>
      <c r="J89" s="29"/>
      <c r="K89" s="29"/>
      <c r="L89" s="67">
        <v>-5</v>
      </c>
      <c r="M89" s="29"/>
      <c r="N89" s="6"/>
    </row>
    <row r="90" spans="1:14" ht="15.75">
      <c r="A90" s="28">
        <f t="shared" si="0"/>
        <v>6</v>
      </c>
      <c r="B90" s="29" t="s">
        <v>60</v>
      </c>
      <c r="C90" s="29"/>
      <c r="D90" s="29"/>
      <c r="E90" s="29"/>
      <c r="F90" s="29"/>
      <c r="G90" s="29"/>
      <c r="H90" s="29"/>
      <c r="I90" s="29"/>
      <c r="J90" s="29"/>
      <c r="K90" s="29"/>
      <c r="L90" s="67">
        <v>-742</v>
      </c>
      <c r="M90" s="29"/>
      <c r="N90" s="6"/>
    </row>
    <row r="91" spans="1:14" ht="15.75">
      <c r="A91" s="28">
        <f t="shared" si="0"/>
        <v>7</v>
      </c>
      <c r="B91" s="29" t="s">
        <v>61</v>
      </c>
      <c r="C91" s="29"/>
      <c r="D91" s="29"/>
      <c r="E91" s="29"/>
      <c r="F91" s="29"/>
      <c r="G91" s="29"/>
      <c r="H91" s="29"/>
      <c r="I91" s="29"/>
      <c r="J91" s="29"/>
      <c r="K91" s="29"/>
      <c r="L91" s="67">
        <v>-382</v>
      </c>
      <c r="M91" s="29"/>
      <c r="N91" s="6"/>
    </row>
    <row r="92" spans="1:14" ht="15.75">
      <c r="A92" s="28">
        <f t="shared" si="0"/>
        <v>8</v>
      </c>
      <c r="B92" s="29" t="s">
        <v>62</v>
      </c>
      <c r="C92" s="29"/>
      <c r="D92" s="29"/>
      <c r="E92" s="29"/>
      <c r="F92" s="29"/>
      <c r="G92" s="29"/>
      <c r="H92" s="29"/>
      <c r="I92" s="29"/>
      <c r="J92" s="29"/>
      <c r="K92" s="29"/>
      <c r="L92" s="67">
        <v>0</v>
      </c>
      <c r="M92" s="29"/>
      <c r="N92" s="6"/>
    </row>
    <row r="93" spans="1:14" ht="15.75">
      <c r="A93" s="28">
        <f t="shared" si="0"/>
        <v>9</v>
      </c>
      <c r="B93" s="29" t="s">
        <v>44</v>
      </c>
      <c r="C93" s="29"/>
      <c r="D93" s="29"/>
      <c r="E93" s="29"/>
      <c r="F93" s="29"/>
      <c r="G93" s="29"/>
      <c r="H93" s="29"/>
      <c r="I93" s="29"/>
      <c r="J93" s="66"/>
      <c r="K93" s="29"/>
      <c r="L93" s="67">
        <f>L82+SUM(L85:L91)-L94</f>
        <v>39612</v>
      </c>
      <c r="M93" s="29"/>
      <c r="N93" s="6"/>
    </row>
    <row r="94" spans="1:15" ht="15.75">
      <c r="A94" s="28">
        <f t="shared" si="0"/>
        <v>10</v>
      </c>
      <c r="B94" s="29" t="s">
        <v>63</v>
      </c>
      <c r="C94" s="29"/>
      <c r="D94" s="29"/>
      <c r="E94" s="29"/>
      <c r="F94" s="29"/>
      <c r="G94" s="29"/>
      <c r="H94" s="29"/>
      <c r="I94" s="29"/>
      <c r="J94" s="29"/>
      <c r="K94" s="29"/>
      <c r="L94" s="67">
        <f>J196+SUM(L82:L91)+J198-J201</f>
        <v>2942</v>
      </c>
      <c r="M94" s="29"/>
      <c r="N94" s="6"/>
      <c r="O94" s="72"/>
    </row>
    <row r="95" spans="1:14" ht="15.75">
      <c r="A95" s="28"/>
      <c r="B95" s="32"/>
      <c r="C95" s="29"/>
      <c r="D95" s="29"/>
      <c r="E95" s="29"/>
      <c r="F95" s="29"/>
      <c r="G95" s="29"/>
      <c r="H95" s="29"/>
      <c r="I95" s="29"/>
      <c r="J95" s="66"/>
      <c r="K95" s="66"/>
      <c r="L95" s="66"/>
      <c r="M95" s="29"/>
      <c r="N95" s="6"/>
    </row>
    <row r="96" spans="1:14" ht="15.75">
      <c r="A96" s="7"/>
      <c r="B96" s="14"/>
      <c r="C96" s="9"/>
      <c r="D96" s="9"/>
      <c r="E96" s="9"/>
      <c r="F96" s="9"/>
      <c r="G96" s="9"/>
      <c r="H96" s="9"/>
      <c r="I96" s="9"/>
      <c r="J96" s="74"/>
      <c r="K96" s="74"/>
      <c r="L96" s="74"/>
      <c r="M96" s="9"/>
      <c r="N96" s="6"/>
    </row>
    <row r="97" spans="1:14" ht="16.5" thickBot="1">
      <c r="A97" s="144"/>
      <c r="B97" s="145" t="str">
        <f>+B50</f>
        <v>PPAF1 INVESTOR REPORT QUARTER ENDING NOVEMBER 2004</v>
      </c>
      <c r="C97" s="146"/>
      <c r="D97" s="146"/>
      <c r="E97" s="146"/>
      <c r="F97" s="146"/>
      <c r="G97" s="146"/>
      <c r="H97" s="146"/>
      <c r="I97" s="146"/>
      <c r="J97" s="149"/>
      <c r="K97" s="149"/>
      <c r="L97" s="149"/>
      <c r="M97" s="148"/>
      <c r="N97" s="6"/>
    </row>
    <row r="98" spans="1:14" ht="15.75">
      <c r="A98" s="2"/>
      <c r="B98" s="5"/>
      <c r="C98" s="5"/>
      <c r="D98" s="5"/>
      <c r="E98" s="5"/>
      <c r="F98" s="5"/>
      <c r="G98" s="5"/>
      <c r="H98" s="5"/>
      <c r="I98" s="5"/>
      <c r="J98" s="75"/>
      <c r="K98" s="75"/>
      <c r="L98" s="75"/>
      <c r="M98" s="5"/>
      <c r="N98" s="6"/>
    </row>
    <row r="99" spans="1:14" ht="15.75">
      <c r="A99" s="76"/>
      <c r="B99" s="77" t="s">
        <v>64</v>
      </c>
      <c r="C99" s="78"/>
      <c r="D99" s="78"/>
      <c r="E99" s="78"/>
      <c r="F99" s="78"/>
      <c r="G99" s="78"/>
      <c r="H99" s="78"/>
      <c r="I99" s="78"/>
      <c r="J99" s="78"/>
      <c r="K99" s="78"/>
      <c r="L99" s="79"/>
      <c r="M99" s="80"/>
      <c r="N99" s="6"/>
    </row>
    <row r="100" spans="1:14" ht="15.75">
      <c r="A100" s="76"/>
      <c r="B100" s="78"/>
      <c r="C100" s="78"/>
      <c r="D100" s="78"/>
      <c r="E100" s="78"/>
      <c r="F100" s="78"/>
      <c r="G100" s="78"/>
      <c r="H100" s="78"/>
      <c r="I100" s="78"/>
      <c r="J100" s="78"/>
      <c r="K100" s="78"/>
      <c r="L100" s="79"/>
      <c r="M100" s="78"/>
      <c r="N100" s="6"/>
    </row>
    <row r="101" spans="1:14" ht="15.75">
      <c r="A101" s="7"/>
      <c r="B101" s="165" t="s">
        <v>65</v>
      </c>
      <c r="C101" s="15"/>
      <c r="D101" s="9"/>
      <c r="E101" s="9"/>
      <c r="F101" s="9"/>
      <c r="G101" s="9"/>
      <c r="H101" s="9"/>
      <c r="I101" s="9"/>
      <c r="J101" s="9"/>
      <c r="K101" s="9"/>
      <c r="L101" s="64"/>
      <c r="M101" s="9"/>
      <c r="N101" s="6"/>
    </row>
    <row r="102" spans="1:14" ht="15.75">
      <c r="A102" s="28"/>
      <c r="B102" s="29" t="s">
        <v>66</v>
      </c>
      <c r="C102" s="29"/>
      <c r="D102" s="29"/>
      <c r="E102" s="29"/>
      <c r="F102" s="29"/>
      <c r="G102" s="29"/>
      <c r="H102" s="29"/>
      <c r="I102" s="29"/>
      <c r="J102" s="29"/>
      <c r="K102" s="29"/>
      <c r="L102" s="67">
        <f>10793+400</f>
        <v>11193</v>
      </c>
      <c r="M102" s="29"/>
      <c r="N102" s="6"/>
    </row>
    <row r="103" spans="1:14" ht="15.75">
      <c r="A103" s="28"/>
      <c r="B103" s="29" t="s">
        <v>67</v>
      </c>
      <c r="C103" s="29"/>
      <c r="D103" s="29"/>
      <c r="E103" s="29"/>
      <c r="F103" s="29"/>
      <c r="G103" s="29"/>
      <c r="H103" s="29"/>
      <c r="I103" s="29"/>
      <c r="J103" s="29"/>
      <c r="K103" s="29"/>
      <c r="L103" s="67">
        <v>10793</v>
      </c>
      <c r="M103" s="29"/>
      <c r="N103" s="6"/>
    </row>
    <row r="104" spans="1:14" ht="15.75">
      <c r="A104" s="28"/>
      <c r="B104" s="29" t="s">
        <v>68</v>
      </c>
      <c r="C104" s="29"/>
      <c r="D104" s="29"/>
      <c r="E104" s="29"/>
      <c r="F104" s="29"/>
      <c r="G104" s="29"/>
      <c r="H104" s="29"/>
      <c r="I104" s="29"/>
      <c r="J104" s="29"/>
      <c r="K104" s="29"/>
      <c r="L104" s="67">
        <v>0</v>
      </c>
      <c r="M104" s="29"/>
      <c r="N104" s="6"/>
    </row>
    <row r="105" spans="1:14" ht="15.75">
      <c r="A105" s="28"/>
      <c r="B105" s="29" t="s">
        <v>69</v>
      </c>
      <c r="C105" s="29"/>
      <c r="D105" s="29"/>
      <c r="E105" s="29"/>
      <c r="F105" s="29"/>
      <c r="G105" s="29"/>
      <c r="H105" s="29"/>
      <c r="I105" s="29"/>
      <c r="J105" s="29"/>
      <c r="K105" s="29"/>
      <c r="L105" s="67">
        <v>0</v>
      </c>
      <c r="M105" s="29"/>
      <c r="N105" s="6"/>
    </row>
    <row r="106" spans="1:14" ht="15.75">
      <c r="A106" s="28"/>
      <c r="B106" s="29" t="s">
        <v>70</v>
      </c>
      <c r="C106" s="29"/>
      <c r="D106" s="29"/>
      <c r="E106" s="29"/>
      <c r="F106" s="29"/>
      <c r="G106" s="29"/>
      <c r="H106" s="29"/>
      <c r="I106" s="29"/>
      <c r="J106" s="29"/>
      <c r="K106" s="29"/>
      <c r="L106" s="67">
        <v>0</v>
      </c>
      <c r="M106" s="29"/>
      <c r="N106" s="6"/>
    </row>
    <row r="107" spans="1:14" ht="15.75">
      <c r="A107" s="28"/>
      <c r="B107" s="29" t="s">
        <v>58</v>
      </c>
      <c r="C107" s="29"/>
      <c r="D107" s="29"/>
      <c r="E107" s="29"/>
      <c r="F107" s="29"/>
      <c r="G107" s="29"/>
      <c r="H107" s="29"/>
      <c r="I107" s="29"/>
      <c r="J107" s="29"/>
      <c r="K107" s="29"/>
      <c r="L107" s="67">
        <v>0</v>
      </c>
      <c r="M107" s="29"/>
      <c r="N107" s="6"/>
    </row>
    <row r="108" spans="1:14" ht="15.75">
      <c r="A108" s="28"/>
      <c r="B108" s="29" t="s">
        <v>60</v>
      </c>
      <c r="C108" s="29"/>
      <c r="D108" s="29"/>
      <c r="E108" s="29"/>
      <c r="F108" s="29"/>
      <c r="G108" s="29"/>
      <c r="H108" s="29"/>
      <c r="I108" s="29"/>
      <c r="J108" s="29"/>
      <c r="K108" s="29"/>
      <c r="L108" s="67">
        <v>0</v>
      </c>
      <c r="M108" s="29"/>
      <c r="N108" s="6"/>
    </row>
    <row r="109" spans="1:14" ht="15.75">
      <c r="A109" s="28"/>
      <c r="B109" s="29" t="s">
        <v>61</v>
      </c>
      <c r="C109" s="29"/>
      <c r="D109" s="29"/>
      <c r="E109" s="29"/>
      <c r="F109" s="29"/>
      <c r="G109" s="29"/>
      <c r="H109" s="29"/>
      <c r="I109" s="29"/>
      <c r="J109" s="29"/>
      <c r="K109" s="29"/>
      <c r="L109" s="67">
        <v>0</v>
      </c>
      <c r="M109" s="29"/>
      <c r="N109" s="6"/>
    </row>
    <row r="110" spans="1:14" ht="15.75">
      <c r="A110" s="28"/>
      <c r="B110" s="29" t="s">
        <v>71</v>
      </c>
      <c r="C110" s="29"/>
      <c r="D110" s="29"/>
      <c r="E110" s="29"/>
      <c r="F110" s="29"/>
      <c r="G110" s="29"/>
      <c r="H110" s="29"/>
      <c r="I110" s="29"/>
      <c r="J110" s="29"/>
      <c r="K110" s="29"/>
      <c r="L110" s="67">
        <f>L103</f>
        <v>10793</v>
      </c>
      <c r="M110" s="29"/>
      <c r="N110" s="6"/>
    </row>
    <row r="111" spans="1:14" ht="15.75">
      <c r="A111" s="28"/>
      <c r="B111" s="29"/>
      <c r="C111" s="29"/>
      <c r="D111" s="29"/>
      <c r="E111" s="29"/>
      <c r="F111" s="29"/>
      <c r="G111" s="29"/>
      <c r="H111" s="29"/>
      <c r="I111" s="29"/>
      <c r="J111" s="29"/>
      <c r="K111" s="29"/>
      <c r="L111" s="81"/>
      <c r="M111" s="29"/>
      <c r="N111" s="6"/>
    </row>
    <row r="112" spans="1:14" ht="15.75">
      <c r="A112" s="7"/>
      <c r="B112" s="165" t="s">
        <v>72</v>
      </c>
      <c r="C112" s="15"/>
      <c r="D112" s="9"/>
      <c r="E112" s="9"/>
      <c r="F112" s="9"/>
      <c r="G112" s="157"/>
      <c r="H112" s="9"/>
      <c r="I112" s="9"/>
      <c r="J112" s="9"/>
      <c r="K112" s="9"/>
      <c r="L112" s="83"/>
      <c r="M112" s="9"/>
      <c r="N112" s="6"/>
    </row>
    <row r="113" spans="1:14" ht="15.75">
      <c r="A113" s="7"/>
      <c r="B113" s="15"/>
      <c r="C113" s="19" t="s">
        <v>140</v>
      </c>
      <c r="D113" s="19" t="s">
        <v>150</v>
      </c>
      <c r="E113" s="19" t="s">
        <v>156</v>
      </c>
      <c r="F113" s="19" t="s">
        <v>165</v>
      </c>
      <c r="G113" s="157"/>
      <c r="H113" s="157"/>
      <c r="I113" s="9"/>
      <c r="J113" s="9"/>
      <c r="K113" s="9"/>
      <c r="L113" s="83"/>
      <c r="M113" s="9"/>
      <c r="N113" s="6"/>
    </row>
    <row r="114" spans="1:14" ht="15.75">
      <c r="A114" s="28"/>
      <c r="B114" s="29" t="s">
        <v>73</v>
      </c>
      <c r="C114" s="66">
        <f>E179-'Aug 04'!E178</f>
        <v>214</v>
      </c>
      <c r="D114" s="66">
        <f>J179-'Aug 04'!J178</f>
        <v>62</v>
      </c>
      <c r="E114" s="66">
        <f>E189-'Aug 04'!E188</f>
        <v>-5</v>
      </c>
      <c r="F114" s="66">
        <f>J189-'Aug 04'!J188</f>
        <v>30</v>
      </c>
      <c r="G114" s="156"/>
      <c r="H114" s="156"/>
      <c r="I114" s="29"/>
      <c r="J114" s="29"/>
      <c r="K114" s="29"/>
      <c r="L114" s="67">
        <f>SUM(C114:F114)</f>
        <v>301</v>
      </c>
      <c r="M114" s="29"/>
      <c r="N114" s="6"/>
    </row>
    <row r="115" spans="1:14" ht="15.75">
      <c r="A115" s="28"/>
      <c r="B115" s="29" t="s">
        <v>74</v>
      </c>
      <c r="C115" s="29">
        <f>28+7+129+5</f>
        <v>169</v>
      </c>
      <c r="D115" s="29">
        <v>43</v>
      </c>
      <c r="E115" s="29">
        <v>31</v>
      </c>
      <c r="F115" s="29">
        <f>256+73</f>
        <v>329</v>
      </c>
      <c r="G115" s="156"/>
      <c r="H115" s="156"/>
      <c r="I115" s="29"/>
      <c r="J115" s="29"/>
      <c r="K115" s="29"/>
      <c r="L115" s="67">
        <f>SUM(C115:F115)</f>
        <v>572</v>
      </c>
      <c r="M115" s="29"/>
      <c r="N115" s="6"/>
    </row>
    <row r="116" spans="1:14" ht="15.75">
      <c r="A116" s="28"/>
      <c r="B116" s="29" t="s">
        <v>75</v>
      </c>
      <c r="C116" s="29"/>
      <c r="D116" s="29"/>
      <c r="E116" s="29"/>
      <c r="F116" s="29"/>
      <c r="G116" s="29"/>
      <c r="H116" s="29"/>
      <c r="I116" s="29"/>
      <c r="J116" s="29"/>
      <c r="K116" s="29"/>
      <c r="L116" s="67">
        <f>SUM(L114:L115)</f>
        <v>873</v>
      </c>
      <c r="M116" s="29"/>
      <c r="N116" s="6"/>
    </row>
    <row r="117" spans="1:14" ht="15.75">
      <c r="A117" s="28"/>
      <c r="B117" s="29" t="s">
        <v>76</v>
      </c>
      <c r="C117" s="66">
        <v>116</v>
      </c>
      <c r="D117" s="29"/>
      <c r="E117" s="29"/>
      <c r="F117" s="29"/>
      <c r="G117" s="29"/>
      <c r="H117" s="29"/>
      <c r="I117" s="29"/>
      <c r="J117" s="29"/>
      <c r="K117" s="29"/>
      <c r="L117" s="85"/>
      <c r="M117" s="29"/>
      <c r="N117" s="6"/>
    </row>
    <row r="118" spans="1:14" ht="15.75">
      <c r="A118" s="7"/>
      <c r="B118" s="165" t="s">
        <v>77</v>
      </c>
      <c r="C118" s="15"/>
      <c r="D118" s="9"/>
      <c r="E118" s="9"/>
      <c r="F118" s="9"/>
      <c r="G118" s="9"/>
      <c r="H118" s="9"/>
      <c r="I118" s="9"/>
      <c r="J118" s="9"/>
      <c r="K118" s="9"/>
      <c r="L118" s="64"/>
      <c r="M118" s="9"/>
      <c r="N118" s="6"/>
    </row>
    <row r="119" spans="1:14" ht="15.75">
      <c r="A119" s="28"/>
      <c r="B119" s="29" t="s">
        <v>78</v>
      </c>
      <c r="C119" s="143"/>
      <c r="D119" s="143"/>
      <c r="E119" s="143"/>
      <c r="F119" s="143"/>
      <c r="G119" s="29"/>
      <c r="H119" s="29"/>
      <c r="I119" s="29"/>
      <c r="J119" s="29"/>
      <c r="K119" s="29"/>
      <c r="L119" s="67">
        <f>L67</f>
        <v>240613</v>
      </c>
      <c r="M119" s="29"/>
      <c r="N119" s="6"/>
    </row>
    <row r="120" spans="1:14" ht="15.75">
      <c r="A120" s="28"/>
      <c r="B120" s="29" t="s">
        <v>79</v>
      </c>
      <c r="C120" s="86"/>
      <c r="D120" s="29"/>
      <c r="E120" s="29"/>
      <c r="F120" s="29"/>
      <c r="G120" s="29"/>
      <c r="H120" s="29"/>
      <c r="I120" s="29"/>
      <c r="J120" s="29"/>
      <c r="K120" s="29"/>
      <c r="L120" s="67">
        <f>L70</f>
        <v>39606</v>
      </c>
      <c r="M120" s="29"/>
      <c r="N120" s="6"/>
    </row>
    <row r="121" spans="1:15" ht="15.75">
      <c r="A121" s="28"/>
      <c r="B121" s="29" t="s">
        <v>80</v>
      </c>
      <c r="C121" s="86"/>
      <c r="D121" s="29"/>
      <c r="E121" s="29"/>
      <c r="F121" s="29"/>
      <c r="G121" s="29"/>
      <c r="H121" s="29"/>
      <c r="I121" s="29"/>
      <c r="J121" s="29"/>
      <c r="K121" s="29"/>
      <c r="L121" s="67">
        <f>L120+L119+L72+L73</f>
        <v>280219</v>
      </c>
      <c r="M121" s="29"/>
      <c r="N121" s="6"/>
      <c r="O121" s="72"/>
    </row>
    <row r="122" spans="1:15" ht="15.75">
      <c r="A122" s="28"/>
      <c r="B122" s="29" t="s">
        <v>81</v>
      </c>
      <c r="C122" s="86"/>
      <c r="D122" s="29"/>
      <c r="E122" s="29"/>
      <c r="F122" s="29"/>
      <c r="G122" s="29"/>
      <c r="H122" s="29"/>
      <c r="I122" s="29"/>
      <c r="J122" s="29"/>
      <c r="K122" s="29"/>
      <c r="L122" s="67">
        <f>L74</f>
        <v>251000</v>
      </c>
      <c r="M122" s="29"/>
      <c r="N122" s="6"/>
      <c r="O122" s="72"/>
    </row>
    <row r="123" spans="1:14" ht="15.75">
      <c r="A123" s="28"/>
      <c r="B123" s="29"/>
      <c r="C123" s="29"/>
      <c r="D123" s="29"/>
      <c r="E123" s="29"/>
      <c r="F123" s="29"/>
      <c r="G123" s="29"/>
      <c r="H123" s="29"/>
      <c r="I123" s="29"/>
      <c r="J123" s="29"/>
      <c r="K123" s="29"/>
      <c r="L123" s="85"/>
      <c r="M123" s="29"/>
      <c r="N123" s="6"/>
    </row>
    <row r="124" spans="1:14" ht="15.75">
      <c r="A124" s="7"/>
      <c r="B124" s="165" t="s">
        <v>82</v>
      </c>
      <c r="C124" s="158"/>
      <c r="D124" s="158"/>
      <c r="E124" s="158"/>
      <c r="F124" s="158"/>
      <c r="G124" s="158"/>
      <c r="H124" s="159" t="s">
        <v>176</v>
      </c>
      <c r="I124" s="166"/>
      <c r="J124" s="159" t="s">
        <v>179</v>
      </c>
      <c r="K124" s="158"/>
      <c r="L124" s="167" t="s">
        <v>131</v>
      </c>
      <c r="M124" s="177"/>
      <c r="N124" s="6"/>
    </row>
    <row r="125" spans="1:14" ht="15.75">
      <c r="A125" s="28"/>
      <c r="B125" s="29" t="s">
        <v>83</v>
      </c>
      <c r="C125" s="29"/>
      <c r="D125" s="29"/>
      <c r="E125" s="29"/>
      <c r="F125" s="29"/>
      <c r="G125" s="29"/>
      <c r="H125" s="67">
        <v>0</v>
      </c>
      <c r="I125" s="29"/>
      <c r="J125" s="89" t="s">
        <v>180</v>
      </c>
      <c r="K125" s="29"/>
      <c r="L125" s="67">
        <f>H125</f>
        <v>0</v>
      </c>
      <c r="M125" s="29"/>
      <c r="N125" s="6"/>
    </row>
    <row r="126" spans="1:14" ht="15.75">
      <c r="A126" s="28"/>
      <c r="B126" s="29" t="s">
        <v>84</v>
      </c>
      <c r="C126" s="29"/>
      <c r="D126" s="29"/>
      <c r="E126" s="29"/>
      <c r="F126" s="29"/>
      <c r="G126" s="29"/>
      <c r="H126" s="67">
        <f>+'Aug 04'!H128</f>
        <v>585</v>
      </c>
      <c r="I126" s="29"/>
      <c r="J126" s="89" t="s">
        <v>180</v>
      </c>
      <c r="K126" s="29"/>
      <c r="L126" s="67">
        <f>H126</f>
        <v>585</v>
      </c>
      <c r="M126" s="29"/>
      <c r="N126" s="6"/>
    </row>
    <row r="127" spans="1:14" ht="15.75">
      <c r="A127" s="28"/>
      <c r="B127" s="29" t="s">
        <v>85</v>
      </c>
      <c r="C127" s="29"/>
      <c r="D127" s="29"/>
      <c r="E127" s="29"/>
      <c r="F127" s="29"/>
      <c r="G127" s="29"/>
      <c r="H127" s="67">
        <v>223</v>
      </c>
      <c r="I127" s="29"/>
      <c r="J127" s="89" t="s">
        <v>180</v>
      </c>
      <c r="K127" s="29"/>
      <c r="L127" s="67">
        <f>H127</f>
        <v>223</v>
      </c>
      <c r="M127" s="29"/>
      <c r="N127" s="6"/>
    </row>
    <row r="128" spans="1:14" ht="15.75">
      <c r="A128" s="28"/>
      <c r="B128" s="29" t="s">
        <v>86</v>
      </c>
      <c r="C128" s="29"/>
      <c r="D128" s="29"/>
      <c r="E128" s="29"/>
      <c r="F128" s="29"/>
      <c r="G128" s="29"/>
      <c r="H128" s="67">
        <f>SUM(H126:H127)</f>
        <v>808</v>
      </c>
      <c r="I128" s="29"/>
      <c r="J128" s="89" t="s">
        <v>180</v>
      </c>
      <c r="K128" s="29"/>
      <c r="L128" s="67">
        <f>H128</f>
        <v>808</v>
      </c>
      <c r="M128" s="29"/>
      <c r="N128" s="6"/>
    </row>
    <row r="129" spans="1:14" ht="15.75">
      <c r="A129" s="28"/>
      <c r="B129" s="29" t="s">
        <v>87</v>
      </c>
      <c r="C129" s="29"/>
      <c r="D129" s="29"/>
      <c r="E129" s="29"/>
      <c r="F129" s="29"/>
      <c r="G129" s="29"/>
      <c r="H129" s="67">
        <v>0</v>
      </c>
      <c r="I129" s="29"/>
      <c r="J129" s="89" t="s">
        <v>180</v>
      </c>
      <c r="K129" s="29"/>
      <c r="L129" s="67">
        <f>H129</f>
        <v>0</v>
      </c>
      <c r="M129" s="29"/>
      <c r="N129" s="6"/>
    </row>
    <row r="130" spans="1:14" ht="15.75">
      <c r="A130" s="28"/>
      <c r="B130" s="29"/>
      <c r="C130" s="29"/>
      <c r="D130" s="29"/>
      <c r="E130" s="29"/>
      <c r="F130" s="29"/>
      <c r="G130" s="29"/>
      <c r="H130" s="29"/>
      <c r="I130" s="29"/>
      <c r="J130" s="29"/>
      <c r="K130" s="29"/>
      <c r="L130" s="29"/>
      <c r="M130" s="29"/>
      <c r="N130" s="6"/>
    </row>
    <row r="131" spans="1:14" ht="15.75">
      <c r="A131" s="28"/>
      <c r="B131" s="32"/>
      <c r="C131" s="32"/>
      <c r="D131" s="32"/>
      <c r="E131" s="32"/>
      <c r="F131" s="32"/>
      <c r="G131" s="32"/>
      <c r="H131" s="32"/>
      <c r="I131" s="32"/>
      <c r="J131" s="32"/>
      <c r="K131" s="32"/>
      <c r="L131" s="32"/>
      <c r="M131" s="32"/>
      <c r="N131" s="6"/>
    </row>
    <row r="132" spans="1:14" ht="15.75">
      <c r="A132" s="90"/>
      <c r="B132" s="63" t="s">
        <v>88</v>
      </c>
      <c r="C132" s="91"/>
      <c r="D132" s="91"/>
      <c r="E132" s="91"/>
      <c r="F132" s="91"/>
      <c r="G132" s="21"/>
      <c r="H132" s="21"/>
      <c r="I132" s="21"/>
      <c r="J132" s="21">
        <v>38321</v>
      </c>
      <c r="K132" s="17"/>
      <c r="L132" s="17"/>
      <c r="M132" s="9"/>
      <c r="N132" s="6"/>
    </row>
    <row r="133" spans="1:14" ht="15.75">
      <c r="A133" s="92"/>
      <c r="B133" s="93" t="s">
        <v>89</v>
      </c>
      <c r="C133" s="94"/>
      <c r="D133" s="94"/>
      <c r="E133" s="94"/>
      <c r="F133" s="94"/>
      <c r="G133" s="95"/>
      <c r="H133" s="95"/>
      <c r="I133" s="95"/>
      <c r="J133" s="96">
        <v>0.1226</v>
      </c>
      <c r="K133" s="29"/>
      <c r="L133" s="29"/>
      <c r="M133" s="29"/>
      <c r="N133" s="6"/>
    </row>
    <row r="134" spans="1:14" ht="15.75">
      <c r="A134" s="92"/>
      <c r="B134" s="93" t="s">
        <v>90</v>
      </c>
      <c r="C134" s="94"/>
      <c r="D134" s="94"/>
      <c r="E134" s="94"/>
      <c r="F134" s="94"/>
      <c r="G134" s="95"/>
      <c r="H134" s="95"/>
      <c r="I134" s="95"/>
      <c r="J134" s="96">
        <v>0.0582</v>
      </c>
      <c r="K134" s="96"/>
      <c r="L134" s="29"/>
      <c r="M134" s="29"/>
      <c r="N134" s="6"/>
    </row>
    <row r="135" spans="1:14" ht="15.75">
      <c r="A135" s="92"/>
      <c r="B135" s="93" t="s">
        <v>91</v>
      </c>
      <c r="C135" s="94"/>
      <c r="D135" s="94"/>
      <c r="E135" s="94"/>
      <c r="F135" s="94"/>
      <c r="G135" s="95"/>
      <c r="H135" s="95"/>
      <c r="I135" s="95"/>
      <c r="J135" s="96">
        <f>J133-J134</f>
        <v>0.0644</v>
      </c>
      <c r="K135" s="29"/>
      <c r="L135" s="29"/>
      <c r="M135" s="29"/>
      <c r="N135" s="6"/>
    </row>
    <row r="136" spans="1:14" ht="15.75">
      <c r="A136" s="92"/>
      <c r="B136" s="93" t="s">
        <v>92</v>
      </c>
      <c r="C136" s="94"/>
      <c r="D136" s="94"/>
      <c r="E136" s="94"/>
      <c r="F136" s="94"/>
      <c r="G136" s="95"/>
      <c r="H136" s="95"/>
      <c r="I136" s="95"/>
      <c r="J136" s="96">
        <v>0.1085</v>
      </c>
      <c r="K136" s="29"/>
      <c r="L136" s="29"/>
      <c r="M136" s="29"/>
      <c r="N136" s="6"/>
    </row>
    <row r="137" spans="1:14" ht="15.75">
      <c r="A137" s="92"/>
      <c r="B137" s="93" t="s">
        <v>93</v>
      </c>
      <c r="C137" s="94"/>
      <c r="D137" s="94"/>
      <c r="E137" s="94"/>
      <c r="F137" s="94"/>
      <c r="G137" s="95"/>
      <c r="H137" s="95"/>
      <c r="I137" s="95"/>
      <c r="J137" s="96">
        <f>L32</f>
        <v>0.055208078884462136</v>
      </c>
      <c r="K137" s="29"/>
      <c r="L137" s="29"/>
      <c r="M137" s="29"/>
      <c r="N137" s="6"/>
    </row>
    <row r="138" spans="1:14" ht="15.75">
      <c r="A138" s="92"/>
      <c r="B138" s="93" t="s">
        <v>94</v>
      </c>
      <c r="C138" s="94"/>
      <c r="D138" s="94"/>
      <c r="E138" s="94"/>
      <c r="F138" s="94"/>
      <c r="G138" s="95"/>
      <c r="H138" s="95"/>
      <c r="I138" s="95"/>
      <c r="J138" s="96">
        <f>J136-J137</f>
        <v>0.05329192111553786</v>
      </c>
      <c r="K138" s="29"/>
      <c r="L138" s="29"/>
      <c r="M138" s="29"/>
      <c r="N138" s="6"/>
    </row>
    <row r="139" spans="1:14" ht="15.75">
      <c r="A139" s="92"/>
      <c r="B139" s="93" t="s">
        <v>95</v>
      </c>
      <c r="C139" s="94"/>
      <c r="D139" s="94"/>
      <c r="E139" s="94"/>
      <c r="F139" s="94"/>
      <c r="G139" s="95"/>
      <c r="H139" s="95"/>
      <c r="I139" s="95"/>
      <c r="J139" s="96" t="s">
        <v>181</v>
      </c>
      <c r="K139" s="29"/>
      <c r="L139" s="29"/>
      <c r="M139" s="29"/>
      <c r="N139" s="6"/>
    </row>
    <row r="140" spans="1:14" ht="15.75">
      <c r="A140" s="92"/>
      <c r="B140" s="93" t="s">
        <v>96</v>
      </c>
      <c r="C140" s="94"/>
      <c r="D140" s="94"/>
      <c r="E140" s="94"/>
      <c r="F140" s="94"/>
      <c r="G140" s="95"/>
      <c r="H140" s="95"/>
      <c r="I140" s="95"/>
      <c r="J140" s="96" t="s">
        <v>182</v>
      </c>
      <c r="K140" s="29"/>
      <c r="L140" s="29"/>
      <c r="M140" s="29"/>
      <c r="N140" s="6"/>
    </row>
    <row r="141" spans="1:14" ht="15.75">
      <c r="A141" s="92"/>
      <c r="B141" s="93" t="s">
        <v>97</v>
      </c>
      <c r="C141" s="94"/>
      <c r="D141" s="94"/>
      <c r="E141" s="94"/>
      <c r="F141" s="94"/>
      <c r="G141" s="95"/>
      <c r="H141" s="95"/>
      <c r="I141" s="95"/>
      <c r="J141" s="96" t="s">
        <v>183</v>
      </c>
      <c r="K141" s="29"/>
      <c r="L141" s="29"/>
      <c r="M141" s="29"/>
      <c r="N141" s="6"/>
    </row>
    <row r="142" spans="1:14" ht="15.75">
      <c r="A142" s="92"/>
      <c r="B142" s="93" t="s">
        <v>98</v>
      </c>
      <c r="C142" s="94"/>
      <c r="D142" s="94"/>
      <c r="E142" s="94"/>
      <c r="F142" s="94"/>
      <c r="G142" s="95"/>
      <c r="H142" s="95"/>
      <c r="I142" s="95"/>
      <c r="J142" s="97">
        <v>4.08</v>
      </c>
      <c r="K142" s="29"/>
      <c r="L142" s="29"/>
      <c r="M142" s="29"/>
      <c r="N142" s="6"/>
    </row>
    <row r="143" spans="1:14" ht="15.75">
      <c r="A143" s="92"/>
      <c r="B143" s="93" t="s">
        <v>99</v>
      </c>
      <c r="C143" s="94"/>
      <c r="D143" s="94"/>
      <c r="E143" s="94"/>
      <c r="F143" s="94"/>
      <c r="G143" s="95"/>
      <c r="H143" s="95"/>
      <c r="I143" s="95"/>
      <c r="J143" s="97">
        <v>8.3</v>
      </c>
      <c r="K143" s="29"/>
      <c r="L143" s="29"/>
      <c r="M143" s="29"/>
      <c r="N143" s="6"/>
    </row>
    <row r="144" spans="1:14" ht="15.75">
      <c r="A144" s="92"/>
      <c r="B144" s="93" t="s">
        <v>100</v>
      </c>
      <c r="C144" s="94"/>
      <c r="D144" s="94"/>
      <c r="E144" s="94"/>
      <c r="F144" s="94"/>
      <c r="G144" s="95"/>
      <c r="H144" s="95"/>
      <c r="I144" s="95"/>
      <c r="J144" s="96">
        <v>0.1202</v>
      </c>
      <c r="K144" s="29"/>
      <c r="L144" s="29"/>
      <c r="M144" s="29"/>
      <c r="N144" s="6"/>
    </row>
    <row r="145" spans="1:14" ht="15.75">
      <c r="A145" s="92"/>
      <c r="B145" s="93" t="s">
        <v>101</v>
      </c>
      <c r="C145" s="94"/>
      <c r="D145" s="94"/>
      <c r="E145" s="94"/>
      <c r="F145" s="94"/>
      <c r="G145" s="95"/>
      <c r="H145" s="95"/>
      <c r="I145" s="95"/>
      <c r="J145" s="96">
        <v>0.4563</v>
      </c>
      <c r="K145" s="29"/>
      <c r="L145" s="29"/>
      <c r="M145" s="29"/>
      <c r="N145" s="6"/>
    </row>
    <row r="146" spans="1:14" ht="15.75">
      <c r="A146" s="92"/>
      <c r="B146" s="93"/>
      <c r="C146" s="93"/>
      <c r="D146" s="93"/>
      <c r="E146" s="93"/>
      <c r="F146" s="93"/>
      <c r="G146" s="29"/>
      <c r="H146" s="29"/>
      <c r="I146" s="36"/>
      <c r="J146" s="98"/>
      <c r="K146" s="29"/>
      <c r="L146" s="99"/>
      <c r="M146" s="29"/>
      <c r="N146" s="6"/>
    </row>
    <row r="147" spans="1:14" ht="15.75">
      <c r="A147" s="90"/>
      <c r="B147" s="100"/>
      <c r="C147" s="100"/>
      <c r="D147" s="100"/>
      <c r="E147" s="100"/>
      <c r="F147" s="100"/>
      <c r="G147" s="9"/>
      <c r="H147" s="9"/>
      <c r="I147" s="22"/>
      <c r="J147" s="101"/>
      <c r="K147" s="9"/>
      <c r="L147" s="102"/>
      <c r="M147" s="9"/>
      <c r="N147" s="6"/>
    </row>
    <row r="148" spans="1:14" ht="16.5" thickBot="1">
      <c r="A148" s="150"/>
      <c r="B148" s="145" t="str">
        <f>+B97</f>
        <v>PPAF1 INVESTOR REPORT QUARTER ENDING NOVEMBER 2004</v>
      </c>
      <c r="C148" s="151"/>
      <c r="D148" s="151"/>
      <c r="E148" s="151"/>
      <c r="F148" s="151"/>
      <c r="G148" s="146"/>
      <c r="H148" s="146"/>
      <c r="I148" s="152"/>
      <c r="J148" s="153"/>
      <c r="K148" s="146"/>
      <c r="L148" s="154"/>
      <c r="M148" s="148"/>
      <c r="N148" s="6"/>
    </row>
    <row r="149" spans="1:14" ht="15.75">
      <c r="A149" s="103"/>
      <c r="B149" s="104" t="s">
        <v>102</v>
      </c>
      <c r="C149" s="105"/>
      <c r="D149" s="106"/>
      <c r="E149" s="105"/>
      <c r="F149" s="106"/>
      <c r="G149" s="105"/>
      <c r="H149" s="106"/>
      <c r="I149" s="105" t="s">
        <v>141</v>
      </c>
      <c r="J149" s="106" t="s">
        <v>184</v>
      </c>
      <c r="K149" s="107"/>
      <c r="L149" s="107"/>
      <c r="M149" s="5"/>
      <c r="N149" s="6"/>
    </row>
    <row r="150" spans="1:14" ht="15.75">
      <c r="A150" s="108"/>
      <c r="B150" s="93" t="s">
        <v>103</v>
      </c>
      <c r="C150" s="68"/>
      <c r="D150" s="68"/>
      <c r="E150" s="68"/>
      <c r="F150" s="29"/>
      <c r="G150" s="29"/>
      <c r="H150" s="29"/>
      <c r="I150" s="29">
        <v>875</v>
      </c>
      <c r="J150" s="67">
        <v>6058</v>
      </c>
      <c r="K150" s="67"/>
      <c r="L150" s="99"/>
      <c r="M150" s="109"/>
      <c r="N150" s="6"/>
    </row>
    <row r="151" spans="1:14" ht="15.75">
      <c r="A151" s="108"/>
      <c r="B151" s="93" t="s">
        <v>104</v>
      </c>
      <c r="C151" s="68"/>
      <c r="D151" s="68"/>
      <c r="E151" s="68"/>
      <c r="F151" s="29"/>
      <c r="G151" s="29"/>
      <c r="H151" s="29"/>
      <c r="I151" s="29">
        <v>6</v>
      </c>
      <c r="J151" s="67">
        <v>40</v>
      </c>
      <c r="K151" s="67"/>
      <c r="L151" s="99"/>
      <c r="M151" s="109"/>
      <c r="N151" s="6"/>
    </row>
    <row r="152" spans="1:14" ht="15.75">
      <c r="A152" s="108"/>
      <c r="B152" s="93" t="s">
        <v>207</v>
      </c>
      <c r="C152" s="68"/>
      <c r="D152" s="68"/>
      <c r="E152" s="68"/>
      <c r="F152" s="29"/>
      <c r="G152" s="29"/>
      <c r="H152" s="29"/>
      <c r="I152" s="29">
        <v>8</v>
      </c>
      <c r="J152" s="67">
        <v>86</v>
      </c>
      <c r="K152" s="67"/>
      <c r="L152" s="99"/>
      <c r="M152" s="109"/>
      <c r="N152" s="6"/>
    </row>
    <row r="153" spans="1:14" ht="15.75">
      <c r="A153" s="108"/>
      <c r="B153" s="168" t="s">
        <v>105</v>
      </c>
      <c r="C153" s="68"/>
      <c r="D153" s="68"/>
      <c r="E153" s="68"/>
      <c r="F153" s="29"/>
      <c r="G153" s="29"/>
      <c r="H153" s="29"/>
      <c r="I153" s="29"/>
      <c r="J153" s="110">
        <v>0</v>
      </c>
      <c r="K153" s="29"/>
      <c r="L153" s="99"/>
      <c r="M153" s="109"/>
      <c r="N153" s="6"/>
    </row>
    <row r="154" spans="1:14" ht="15.75">
      <c r="A154" s="108"/>
      <c r="B154" s="168" t="s">
        <v>106</v>
      </c>
      <c r="C154" s="68"/>
      <c r="D154" s="68"/>
      <c r="E154" s="68"/>
      <c r="F154" s="29"/>
      <c r="G154" s="29"/>
      <c r="H154" s="29"/>
      <c r="I154" s="29"/>
      <c r="J154" s="67">
        <f>H67</f>
        <v>61041</v>
      </c>
      <c r="K154" s="29"/>
      <c r="L154" s="99"/>
      <c r="M154" s="109"/>
      <c r="N154" s="6"/>
    </row>
    <row r="155" spans="1:14" ht="15.75">
      <c r="A155" s="111"/>
      <c r="B155" s="168" t="s">
        <v>107</v>
      </c>
      <c r="C155" s="68"/>
      <c r="D155" s="93"/>
      <c r="E155" s="93"/>
      <c r="F155" s="93"/>
      <c r="G155" s="29"/>
      <c r="H155" s="29"/>
      <c r="I155" s="29"/>
      <c r="J155" s="112"/>
      <c r="K155" s="29"/>
      <c r="L155" s="99"/>
      <c r="M155" s="113"/>
      <c r="N155" s="6"/>
    </row>
    <row r="156" spans="1:14" ht="15.75">
      <c r="A156" s="108"/>
      <c r="B156" s="93" t="s">
        <v>108</v>
      </c>
      <c r="C156" s="68"/>
      <c r="D156" s="68"/>
      <c r="E156" s="68"/>
      <c r="F156" s="68"/>
      <c r="G156" s="29"/>
      <c r="H156" s="29"/>
      <c r="I156" s="29"/>
      <c r="J156" s="67">
        <f>L116</f>
        <v>873</v>
      </c>
      <c r="K156" s="29"/>
      <c r="L156" s="99"/>
      <c r="M156" s="113"/>
      <c r="N156" s="6"/>
    </row>
    <row r="157" spans="1:14" ht="15.75">
      <c r="A157" s="108"/>
      <c r="B157" s="93" t="s">
        <v>109</v>
      </c>
      <c r="C157" s="68"/>
      <c r="D157" s="68"/>
      <c r="E157" s="68"/>
      <c r="F157" s="68"/>
      <c r="G157" s="29"/>
      <c r="H157" s="29"/>
      <c r="I157" s="29"/>
      <c r="J157" s="67">
        <f>L116+'Aug 04'!J156</f>
        <v>23292</v>
      </c>
      <c r="K157" s="29"/>
      <c r="L157" s="99"/>
      <c r="M157" s="113"/>
      <c r="N157" s="6"/>
    </row>
    <row r="158" spans="1:14" ht="15.75">
      <c r="A158" s="108"/>
      <c r="B158" s="93" t="s">
        <v>110</v>
      </c>
      <c r="C158" s="68"/>
      <c r="D158" s="68"/>
      <c r="E158" s="68"/>
      <c r="F158" s="68"/>
      <c r="G158" s="29"/>
      <c r="H158" s="29"/>
      <c r="I158" s="29"/>
      <c r="J158" s="67"/>
      <c r="K158" s="29"/>
      <c r="L158" s="99"/>
      <c r="M158" s="113"/>
      <c r="N158" s="6"/>
    </row>
    <row r="159" spans="1:14" ht="15.75">
      <c r="A159" s="108"/>
      <c r="B159" s="93"/>
      <c r="C159" s="68"/>
      <c r="D159" s="68"/>
      <c r="E159" s="68"/>
      <c r="F159" s="68"/>
      <c r="G159" s="29"/>
      <c r="H159" s="29"/>
      <c r="I159" s="29"/>
      <c r="J159" s="67"/>
      <c r="K159" s="29"/>
      <c r="L159" s="99"/>
      <c r="M159" s="113"/>
      <c r="N159" s="6"/>
    </row>
    <row r="160" spans="1:14" ht="15.75">
      <c r="A160" s="111"/>
      <c r="B160" s="168" t="s">
        <v>111</v>
      </c>
      <c r="C160" s="68"/>
      <c r="D160" s="93"/>
      <c r="E160" s="93"/>
      <c r="F160" s="93"/>
      <c r="G160" s="29"/>
      <c r="H160" s="29"/>
      <c r="I160" s="29"/>
      <c r="J160" s="89"/>
      <c r="K160" s="29"/>
      <c r="L160" s="99"/>
      <c r="M160" s="113"/>
      <c r="N160" s="6"/>
    </row>
    <row r="161" spans="1:14" ht="15.75">
      <c r="A161" s="111"/>
      <c r="B161" s="93" t="s">
        <v>112</v>
      </c>
      <c r="C161" s="68"/>
      <c r="D161" s="93"/>
      <c r="E161" s="93"/>
      <c r="F161" s="93"/>
      <c r="G161" s="29"/>
      <c r="H161" s="29"/>
      <c r="I161" s="29"/>
      <c r="J161" s="89">
        <v>0</v>
      </c>
      <c r="K161" s="29"/>
      <c r="L161" s="99"/>
      <c r="M161" s="113"/>
      <c r="N161" s="6"/>
    </row>
    <row r="162" spans="1:14" ht="15.75">
      <c r="A162" s="108"/>
      <c r="B162" s="93" t="s">
        <v>113</v>
      </c>
      <c r="C162" s="68"/>
      <c r="D162" s="114"/>
      <c r="E162" s="114"/>
      <c r="F162" s="115"/>
      <c r="G162" s="29"/>
      <c r="H162" s="29"/>
      <c r="I162" s="29"/>
      <c r="J162" s="89">
        <v>0</v>
      </c>
      <c r="K162" s="29"/>
      <c r="L162" s="99"/>
      <c r="M162" s="113"/>
      <c r="N162" s="6"/>
    </row>
    <row r="163" spans="1:14" ht="15.75">
      <c r="A163" s="108"/>
      <c r="B163" s="93" t="s">
        <v>114</v>
      </c>
      <c r="C163" s="68"/>
      <c r="D163" s="114"/>
      <c r="E163" s="114"/>
      <c r="F163" s="115"/>
      <c r="G163" s="29"/>
      <c r="H163" s="29"/>
      <c r="I163" s="29"/>
      <c r="J163" s="89">
        <v>0</v>
      </c>
      <c r="K163" s="29"/>
      <c r="L163" s="99"/>
      <c r="M163" s="113"/>
      <c r="N163" s="6"/>
    </row>
    <row r="164" spans="1:14" ht="15.75">
      <c r="A164" s="108"/>
      <c r="B164" s="93" t="s">
        <v>115</v>
      </c>
      <c r="C164" s="68"/>
      <c r="D164" s="116"/>
      <c r="E164" s="114"/>
      <c r="F164" s="115"/>
      <c r="G164" s="29"/>
      <c r="H164" s="29"/>
      <c r="I164" s="29"/>
      <c r="J164" s="89">
        <v>0</v>
      </c>
      <c r="K164" s="29"/>
      <c r="L164" s="99"/>
      <c r="M164" s="113"/>
      <c r="N164" s="6"/>
    </row>
    <row r="165" spans="1:14" ht="15.75">
      <c r="A165" s="108"/>
      <c r="B165" s="93"/>
      <c r="C165" s="68"/>
      <c r="D165" s="116"/>
      <c r="E165" s="114"/>
      <c r="F165" s="115"/>
      <c r="G165" s="29"/>
      <c r="H165" s="29"/>
      <c r="I165" s="29"/>
      <c r="J165" s="89"/>
      <c r="K165" s="29"/>
      <c r="L165" s="99"/>
      <c r="M165" s="113"/>
      <c r="N165" s="6"/>
    </row>
    <row r="166" spans="1:14" ht="15.75">
      <c r="A166" s="108"/>
      <c r="B166" s="168" t="s">
        <v>116</v>
      </c>
      <c r="C166" s="68"/>
      <c r="D166" s="68"/>
      <c r="E166" s="116"/>
      <c r="F166" s="114"/>
      <c r="G166" s="115"/>
      <c r="H166" s="29"/>
      <c r="I166" s="36"/>
      <c r="J166" s="36"/>
      <c r="K166" s="117"/>
      <c r="L166" s="36"/>
      <c r="M166" s="99"/>
      <c r="N166" s="6"/>
    </row>
    <row r="167" spans="1:14" ht="15.75">
      <c r="A167" s="108"/>
      <c r="B167" s="93" t="s">
        <v>117</v>
      </c>
      <c r="C167" s="68"/>
      <c r="D167" s="68"/>
      <c r="E167" s="116"/>
      <c r="F167" s="114"/>
      <c r="G167" s="115"/>
      <c r="H167" s="29"/>
      <c r="I167" s="36"/>
      <c r="J167" s="118">
        <v>132</v>
      </c>
      <c r="K167" s="118"/>
      <c r="L167" s="36"/>
      <c r="M167" s="99"/>
      <c r="N167" s="6"/>
    </row>
    <row r="168" spans="1:14" ht="15.75">
      <c r="A168" s="108"/>
      <c r="B168" s="93" t="s">
        <v>113</v>
      </c>
      <c r="C168" s="68"/>
      <c r="D168" s="68"/>
      <c r="E168" s="116"/>
      <c r="F168" s="114"/>
      <c r="G168" s="115"/>
      <c r="H168" s="29"/>
      <c r="I168" s="36"/>
      <c r="J168" s="118">
        <v>1.2</v>
      </c>
      <c r="K168" s="118"/>
      <c r="L168" s="36"/>
      <c r="M168" s="99"/>
      <c r="N168" s="6"/>
    </row>
    <row r="169" spans="1:14" ht="15.75">
      <c r="A169" s="108"/>
      <c r="B169" s="93" t="s">
        <v>118</v>
      </c>
      <c r="C169" s="68"/>
      <c r="D169" s="68"/>
      <c r="E169" s="116"/>
      <c r="F169" s="114"/>
      <c r="G169" s="115"/>
      <c r="H169" s="29"/>
      <c r="I169" s="36"/>
      <c r="J169" s="118">
        <v>31</v>
      </c>
      <c r="K169" s="118"/>
      <c r="L169" s="36"/>
      <c r="M169" s="99"/>
      <c r="N169" s="6"/>
    </row>
    <row r="170" spans="1:14" ht="15.75">
      <c r="A170" s="108"/>
      <c r="B170" s="93"/>
      <c r="C170" s="68"/>
      <c r="D170" s="116"/>
      <c r="E170" s="114"/>
      <c r="F170" s="115"/>
      <c r="G170" s="29"/>
      <c r="H170" s="29"/>
      <c r="I170" s="29"/>
      <c r="J170" s="89"/>
      <c r="K170" s="29"/>
      <c r="L170" s="99"/>
      <c r="M170" s="113"/>
      <c r="N170" s="6"/>
    </row>
    <row r="171" spans="1:14" ht="15.75">
      <c r="A171" s="28"/>
      <c r="B171" s="119" t="s">
        <v>119</v>
      </c>
      <c r="C171" s="120"/>
      <c r="D171" s="121"/>
      <c r="E171" s="120"/>
      <c r="F171" s="121"/>
      <c r="G171" s="120"/>
      <c r="H171" s="121"/>
      <c r="I171" s="120"/>
      <c r="J171" s="121"/>
      <c r="K171" s="120"/>
      <c r="L171" s="122"/>
      <c r="M171" s="113"/>
      <c r="N171" s="6"/>
    </row>
    <row r="172" spans="1:14" ht="15.75">
      <c r="A172" s="28"/>
      <c r="B172" s="33"/>
      <c r="C172" s="156"/>
      <c r="D172" s="119" t="s">
        <v>151</v>
      </c>
      <c r="E172" s="120"/>
      <c r="F172" s="121"/>
      <c r="G172" s="120"/>
      <c r="H172" s="119" t="s">
        <v>39</v>
      </c>
      <c r="I172" s="120"/>
      <c r="J172" s="121"/>
      <c r="K172" s="120"/>
      <c r="L172" s="122"/>
      <c r="M172" s="113"/>
      <c r="N172" s="6"/>
    </row>
    <row r="173" spans="1:14" ht="15.75">
      <c r="A173" s="28"/>
      <c r="B173" s="156"/>
      <c r="C173" s="121" t="s">
        <v>141</v>
      </c>
      <c r="D173" s="120" t="s">
        <v>152</v>
      </c>
      <c r="E173" s="121" t="s">
        <v>157</v>
      </c>
      <c r="F173" s="120" t="s">
        <v>152</v>
      </c>
      <c r="G173" s="120"/>
      <c r="H173" s="121" t="s">
        <v>141</v>
      </c>
      <c r="I173" s="120" t="s">
        <v>152</v>
      </c>
      <c r="J173" s="121" t="s">
        <v>157</v>
      </c>
      <c r="K173" s="120" t="s">
        <v>152</v>
      </c>
      <c r="L173" s="122"/>
      <c r="M173" s="113"/>
      <c r="N173" s="6"/>
    </row>
    <row r="174" spans="1:14" ht="15.75">
      <c r="A174" s="28"/>
      <c r="B174" s="68" t="s">
        <v>120</v>
      </c>
      <c r="C174" s="123">
        <v>3554</v>
      </c>
      <c r="D174" s="96">
        <f>C174/C178</f>
        <v>0.8033453887884268</v>
      </c>
      <c r="E174" s="123">
        <v>18287</v>
      </c>
      <c r="F174" s="96">
        <f>E174/E178</f>
        <v>0.7908917913675287</v>
      </c>
      <c r="G174" s="120"/>
      <c r="H174" s="123">
        <v>12777</v>
      </c>
      <c r="I174" s="96">
        <f>H174/H178</f>
        <v>0.8664135078321015</v>
      </c>
      <c r="J174" s="123">
        <v>9328</v>
      </c>
      <c r="K174" s="96">
        <f>J174/J178</f>
        <v>0.8661095636025998</v>
      </c>
      <c r="L174" s="122"/>
      <c r="M174" s="113"/>
      <c r="N174" s="6"/>
    </row>
    <row r="175" spans="1:14" ht="15.75">
      <c r="A175" s="28"/>
      <c r="B175" s="68" t="s">
        <v>121</v>
      </c>
      <c r="C175" s="123">
        <v>110</v>
      </c>
      <c r="D175" s="96">
        <f>C175/$C$178</f>
        <v>0.024864376130198915</v>
      </c>
      <c r="E175" s="123">
        <v>689</v>
      </c>
      <c r="F175" s="96">
        <f>E175/$E$178</f>
        <v>0.02979846034080097</v>
      </c>
      <c r="G175" s="120"/>
      <c r="H175" s="123">
        <v>224</v>
      </c>
      <c r="I175" s="96">
        <f>H175/$H$178</f>
        <v>0.015189530073913339</v>
      </c>
      <c r="J175" s="123">
        <v>114</v>
      </c>
      <c r="K175" s="96">
        <f>J175/$J$178</f>
        <v>0.010584958217270195</v>
      </c>
      <c r="L175" s="122"/>
      <c r="M175" s="113"/>
      <c r="N175" s="6"/>
    </row>
    <row r="176" spans="1:14" ht="15.75">
      <c r="A176" s="28"/>
      <c r="B176" s="68" t="s">
        <v>122</v>
      </c>
      <c r="C176" s="123">
        <v>63</v>
      </c>
      <c r="D176" s="96">
        <f>C176/$C$178</f>
        <v>0.014240506329113924</v>
      </c>
      <c r="E176" s="123">
        <v>318</v>
      </c>
      <c r="F176" s="96">
        <f>E176/$E$178</f>
        <v>0.01375313554190814</v>
      </c>
      <c r="G176" s="120"/>
      <c r="H176" s="123">
        <v>204</v>
      </c>
      <c r="I176" s="96">
        <f>H176/$H$178</f>
        <v>0.013833322031599647</v>
      </c>
      <c r="J176" s="123">
        <v>106</v>
      </c>
      <c r="K176" s="96">
        <f>J176/$J$178</f>
        <v>0.009842154131847726</v>
      </c>
      <c r="L176" s="122"/>
      <c r="M176" s="113"/>
      <c r="N176" s="6"/>
    </row>
    <row r="177" spans="1:16" ht="15.75">
      <c r="A177" s="28"/>
      <c r="B177" s="68" t="s">
        <v>123</v>
      </c>
      <c r="C177" s="123">
        <v>697</v>
      </c>
      <c r="D177" s="96">
        <f>C177/$C$178</f>
        <v>0.1575497287522604</v>
      </c>
      <c r="E177" s="123">
        <v>3828</v>
      </c>
      <c r="F177" s="96">
        <f>E177/$E$178</f>
        <v>0.16555661274976213</v>
      </c>
      <c r="G177" s="120"/>
      <c r="H177" s="123">
        <v>1542</v>
      </c>
      <c r="I177" s="96">
        <f>H177/$H$178</f>
        <v>0.10456364006238557</v>
      </c>
      <c r="J177" s="123">
        <v>1222</v>
      </c>
      <c r="K177" s="96">
        <f>J177/$J$178</f>
        <v>0.11346332404828227</v>
      </c>
      <c r="L177" s="122"/>
      <c r="M177" s="113"/>
      <c r="N177" s="6"/>
      <c r="P177" s="72"/>
    </row>
    <row r="178" spans="1:16" ht="15.75">
      <c r="A178" s="28"/>
      <c r="B178" s="68" t="s">
        <v>124</v>
      </c>
      <c r="C178" s="123">
        <v>4424</v>
      </c>
      <c r="D178" s="96">
        <f>SUM(D174:D177)</f>
        <v>0.9999999999999999</v>
      </c>
      <c r="E178" s="123">
        <f>SUM(E174:E177)</f>
        <v>23122</v>
      </c>
      <c r="F178" s="96">
        <f>SUM(F174:F177)</f>
        <v>1</v>
      </c>
      <c r="G178" s="120"/>
      <c r="H178" s="123">
        <f>SUM(H174:H177)</f>
        <v>14747</v>
      </c>
      <c r="I178" s="96">
        <f>SUM(I174:I177)</f>
        <v>1</v>
      </c>
      <c r="J178" s="123">
        <f>SUM(J174:J177)</f>
        <v>10770</v>
      </c>
      <c r="K178" s="96">
        <f>SUM(K174:K177)</f>
        <v>1</v>
      </c>
      <c r="L178" s="122"/>
      <c r="M178" s="113"/>
      <c r="N178" s="6"/>
      <c r="P178" s="72"/>
    </row>
    <row r="179" spans="1:15" ht="15.75">
      <c r="A179" s="28"/>
      <c r="B179" s="68" t="s">
        <v>125</v>
      </c>
      <c r="C179" s="123">
        <v>3389</v>
      </c>
      <c r="D179" s="124"/>
      <c r="E179" s="123">
        <v>23224</v>
      </c>
      <c r="F179" s="124"/>
      <c r="G179" s="120"/>
      <c r="H179" s="123">
        <v>2853</v>
      </c>
      <c r="I179" s="124"/>
      <c r="J179" s="123">
        <v>3894</v>
      </c>
      <c r="K179" s="124"/>
      <c r="L179" s="122"/>
      <c r="M179" s="113"/>
      <c r="N179" s="6"/>
      <c r="O179" s="72"/>
    </row>
    <row r="180" spans="1:16" ht="15.75">
      <c r="A180" s="28"/>
      <c r="B180" s="68" t="s">
        <v>126</v>
      </c>
      <c r="C180" s="123">
        <f>SUM(C178:C179)</f>
        <v>7813</v>
      </c>
      <c r="D180" s="156"/>
      <c r="E180" s="123">
        <f>E179+E178</f>
        <v>46346</v>
      </c>
      <c r="F180" s="127"/>
      <c r="G180" s="156"/>
      <c r="H180" s="123">
        <f>SUM(H178:H179)</f>
        <v>17600</v>
      </c>
      <c r="I180" s="156"/>
      <c r="J180" s="123">
        <f>J179+J178</f>
        <v>14664</v>
      </c>
      <c r="K180" s="156"/>
      <c r="L180" s="156"/>
      <c r="M180" s="113"/>
      <c r="N180" s="6"/>
      <c r="P180" s="72"/>
    </row>
    <row r="181" spans="1:16" ht="15.75">
      <c r="A181" s="28"/>
      <c r="B181" s="68"/>
      <c r="C181" s="123"/>
      <c r="D181" s="127"/>
      <c r="E181" s="123"/>
      <c r="F181" s="127"/>
      <c r="G181" s="120"/>
      <c r="H181" s="123"/>
      <c r="I181" s="127"/>
      <c r="J181" s="123"/>
      <c r="K181" s="127"/>
      <c r="L181" s="122"/>
      <c r="M181" s="113"/>
      <c r="N181" s="6"/>
      <c r="P181" s="72"/>
    </row>
    <row r="182" spans="1:15" ht="15.75">
      <c r="A182" s="28"/>
      <c r="B182" s="68"/>
      <c r="C182" s="120"/>
      <c r="D182" s="119" t="s">
        <v>40</v>
      </c>
      <c r="E182" s="120"/>
      <c r="F182" s="121"/>
      <c r="G182" s="120"/>
      <c r="H182" s="119" t="s">
        <v>41</v>
      </c>
      <c r="I182" s="120"/>
      <c r="J182" s="121"/>
      <c r="K182" s="120"/>
      <c r="L182" s="122"/>
      <c r="M182" s="113"/>
      <c r="N182" s="6"/>
      <c r="O182" s="72"/>
    </row>
    <row r="183" spans="1:14" ht="15.75">
      <c r="A183" s="28"/>
      <c r="B183" s="156"/>
      <c r="C183" s="121" t="s">
        <v>141</v>
      </c>
      <c r="D183" s="120" t="s">
        <v>152</v>
      </c>
      <c r="E183" s="121" t="s">
        <v>157</v>
      </c>
      <c r="F183" s="120" t="s">
        <v>152</v>
      </c>
      <c r="G183" s="120"/>
      <c r="H183" s="121" t="s">
        <v>141</v>
      </c>
      <c r="I183" s="120" t="s">
        <v>152</v>
      </c>
      <c r="J183" s="121" t="s">
        <v>157</v>
      </c>
      <c r="K183" s="120" t="s">
        <v>152</v>
      </c>
      <c r="L183" s="122"/>
      <c r="M183" s="113"/>
      <c r="N183" s="6"/>
    </row>
    <row r="184" spans="1:15" ht="15.75">
      <c r="A184" s="28"/>
      <c r="B184" s="68" t="s">
        <v>120</v>
      </c>
      <c r="C184" s="123">
        <v>4610</v>
      </c>
      <c r="D184" s="96">
        <f>C184/C188</f>
        <v>0.9548467274233637</v>
      </c>
      <c r="E184" s="123">
        <v>102877</v>
      </c>
      <c r="F184" s="96">
        <f>E184/E188</f>
        <v>0.9533592808822167</v>
      </c>
      <c r="G184" s="120"/>
      <c r="H184" s="123">
        <v>13265</v>
      </c>
      <c r="I184" s="96">
        <f>H184/H188</f>
        <v>0.9880083420229405</v>
      </c>
      <c r="J184" s="123">
        <v>70339</v>
      </c>
      <c r="K184" s="96">
        <f>J184/J188</f>
        <v>0.9854851138353765</v>
      </c>
      <c r="L184" s="122"/>
      <c r="M184" s="113"/>
      <c r="N184" s="6"/>
      <c r="O184" s="72"/>
    </row>
    <row r="185" spans="1:14" ht="15.75">
      <c r="A185" s="28"/>
      <c r="B185" s="68" t="s">
        <v>121</v>
      </c>
      <c r="C185" s="123">
        <v>94</v>
      </c>
      <c r="D185" s="96">
        <f>C185/$C$188</f>
        <v>0.01946975973487987</v>
      </c>
      <c r="E185" s="123">
        <v>1973</v>
      </c>
      <c r="F185" s="96">
        <f>E185/$E$188</f>
        <v>0.018283754981002688</v>
      </c>
      <c r="G185" s="120"/>
      <c r="H185" s="123">
        <v>64</v>
      </c>
      <c r="I185" s="96">
        <f>H185/$H$188</f>
        <v>0.004766870251750335</v>
      </c>
      <c r="J185" s="123">
        <v>367</v>
      </c>
      <c r="K185" s="96">
        <f>J185/$J$188</f>
        <v>0.005141856392294221</v>
      </c>
      <c r="L185" s="122"/>
      <c r="M185" s="113"/>
      <c r="N185" s="6"/>
    </row>
    <row r="186" spans="1:14" ht="15.75">
      <c r="A186" s="28"/>
      <c r="B186" s="68" t="s">
        <v>122</v>
      </c>
      <c r="C186" s="123">
        <v>44</v>
      </c>
      <c r="D186" s="96">
        <f>C186/$C$188</f>
        <v>0.009113504556752278</v>
      </c>
      <c r="E186" s="123">
        <v>1020</v>
      </c>
      <c r="F186" s="96">
        <f>E186/$E$188</f>
        <v>0.009452321378926884</v>
      </c>
      <c r="G186" s="120"/>
      <c r="H186" s="123">
        <v>33</v>
      </c>
      <c r="I186" s="96">
        <f>H186/$H$188</f>
        <v>0.0024579174735587664</v>
      </c>
      <c r="J186" s="123">
        <v>256</v>
      </c>
      <c r="K186" s="96">
        <f>J186/$J$188</f>
        <v>0.003586690017513135</v>
      </c>
      <c r="L186" s="122"/>
      <c r="M186" s="113"/>
      <c r="N186" s="6"/>
    </row>
    <row r="187" spans="1:14" ht="15.75">
      <c r="A187" s="28"/>
      <c r="B187" s="68" t="s">
        <v>123</v>
      </c>
      <c r="C187" s="123">
        <v>80</v>
      </c>
      <c r="D187" s="96">
        <f>C187/$C$188</f>
        <v>0.016570008285004142</v>
      </c>
      <c r="E187" s="123">
        <v>2040</v>
      </c>
      <c r="F187" s="96">
        <f>E187/$E$188</f>
        <v>0.01890464275785377</v>
      </c>
      <c r="G187" s="120"/>
      <c r="H187" s="123">
        <v>64</v>
      </c>
      <c r="I187" s="96">
        <f>H187/$H$188</f>
        <v>0.004766870251750335</v>
      </c>
      <c r="J187" s="123">
        <v>413</v>
      </c>
      <c r="K187" s="96">
        <f>J187/$J$188</f>
        <v>0.005786339754816112</v>
      </c>
      <c r="L187" s="122"/>
      <c r="M187" s="113"/>
      <c r="N187" s="6"/>
    </row>
    <row r="188" spans="1:14" ht="15.75">
      <c r="A188" s="28"/>
      <c r="B188" s="68" t="str">
        <f>B178</f>
        <v>Total Performing  Assets</v>
      </c>
      <c r="C188" s="123">
        <f>SUM(C184:C187)</f>
        <v>4828</v>
      </c>
      <c r="D188" s="96">
        <f>SUM(D184:D187)</f>
        <v>1</v>
      </c>
      <c r="E188" s="123">
        <f>SUM(E184:E187)</f>
        <v>107910</v>
      </c>
      <c r="F188" s="96">
        <f>SUM(F184:F187)</f>
        <v>1</v>
      </c>
      <c r="G188" s="120"/>
      <c r="H188" s="123">
        <f>SUM(H184:H187)</f>
        <v>13426</v>
      </c>
      <c r="I188" s="96">
        <f>SUM(I184:I187)</f>
        <v>1</v>
      </c>
      <c r="J188" s="123">
        <f>SUM(J184:J187)</f>
        <v>71375</v>
      </c>
      <c r="K188" s="96">
        <f>SUM(K184:K187)</f>
        <v>1</v>
      </c>
      <c r="L188" s="122"/>
      <c r="M188" s="113"/>
      <c r="N188" s="6"/>
    </row>
    <row r="189" spans="1:14" ht="15.75">
      <c r="A189" s="28"/>
      <c r="B189" s="68" t="s">
        <v>125</v>
      </c>
      <c r="C189" s="123">
        <v>4</v>
      </c>
      <c r="D189" s="126"/>
      <c r="E189" s="123">
        <v>66</v>
      </c>
      <c r="F189" s="124"/>
      <c r="G189" s="120"/>
      <c r="H189" s="123">
        <v>32</v>
      </c>
      <c r="I189" s="126"/>
      <c r="J189" s="123">
        <v>250</v>
      </c>
      <c r="K189" s="126"/>
      <c r="L189" s="122"/>
      <c r="M189" s="113"/>
      <c r="N189" s="6"/>
    </row>
    <row r="190" spans="1:15" ht="15.75">
      <c r="A190" s="28"/>
      <c r="B190" s="68" t="s">
        <v>126</v>
      </c>
      <c r="C190" s="123">
        <f>SUM(C188:C189)</f>
        <v>4832</v>
      </c>
      <c r="D190" s="156"/>
      <c r="E190" s="123">
        <f>E189+E188</f>
        <v>107976</v>
      </c>
      <c r="F190" s="127"/>
      <c r="G190" s="156"/>
      <c r="H190" s="123">
        <f>SUM(H188:H189)</f>
        <v>13458</v>
      </c>
      <c r="I190" s="156"/>
      <c r="J190" s="123">
        <f>J189+J188</f>
        <v>71625</v>
      </c>
      <c r="K190" s="156"/>
      <c r="L190" s="156"/>
      <c r="M190" s="156"/>
      <c r="N190" s="6"/>
      <c r="O190" s="72"/>
    </row>
    <row r="191" spans="1:14" ht="15.75">
      <c r="A191" s="28"/>
      <c r="B191" s="68"/>
      <c r="C191" s="120"/>
      <c r="D191" s="121"/>
      <c r="E191" s="120"/>
      <c r="F191" s="121"/>
      <c r="G191" s="120"/>
      <c r="H191" s="128"/>
      <c r="I191" s="120"/>
      <c r="J191" s="123"/>
      <c r="K191" s="120"/>
      <c r="L191" s="122"/>
      <c r="M191" s="113"/>
      <c r="N191" s="6"/>
    </row>
    <row r="192" spans="1:14" ht="15.75">
      <c r="A192" s="28"/>
      <c r="B192" s="68" t="s">
        <v>126</v>
      </c>
      <c r="C192" s="120"/>
      <c r="D192" s="121"/>
      <c r="E192" s="120"/>
      <c r="F192" s="121"/>
      <c r="G192" s="120"/>
      <c r="H192" s="128"/>
      <c r="I192" s="126"/>
      <c r="J192" s="123">
        <f>E180+J180+E190+J190</f>
        <v>240611</v>
      </c>
      <c r="K192" s="127"/>
      <c r="L192" s="122"/>
      <c r="M192" s="113"/>
      <c r="N192" s="6"/>
    </row>
    <row r="193" spans="1:14" ht="15.75">
      <c r="A193" s="28"/>
      <c r="B193" s="68"/>
      <c r="C193" s="121"/>
      <c r="D193" s="121"/>
      <c r="E193" s="120"/>
      <c r="F193" s="121"/>
      <c r="G193" s="120"/>
      <c r="H193" s="121"/>
      <c r="I193" s="120"/>
      <c r="J193" s="123"/>
      <c r="K193" s="126"/>
      <c r="L193" s="122"/>
      <c r="M193" s="113"/>
      <c r="N193" s="6"/>
    </row>
    <row r="194" spans="1:14" ht="15.75">
      <c r="A194" s="28"/>
      <c r="B194" s="129" t="s">
        <v>127</v>
      </c>
      <c r="C194" s="120"/>
      <c r="D194" s="121"/>
      <c r="E194" s="120"/>
      <c r="F194" s="121"/>
      <c r="G194" s="120"/>
      <c r="H194" s="121"/>
      <c r="I194" s="120"/>
      <c r="J194" s="123"/>
      <c r="K194" s="120"/>
      <c r="L194" s="122"/>
      <c r="M194" s="113"/>
      <c r="N194" s="6"/>
    </row>
    <row r="195" spans="1:14" ht="15.75">
      <c r="A195" s="28"/>
      <c r="B195" s="68"/>
      <c r="C195" s="120"/>
      <c r="D195" s="121"/>
      <c r="E195" s="120"/>
      <c r="F195" s="121"/>
      <c r="G195" s="120"/>
      <c r="H195" s="121"/>
      <c r="I195" s="120"/>
      <c r="J195" s="123"/>
      <c r="K195" s="120"/>
      <c r="L195" s="122"/>
      <c r="M195" s="113"/>
      <c r="N195" s="6"/>
    </row>
    <row r="196" spans="1:14" ht="15.75">
      <c r="A196" s="28"/>
      <c r="B196" s="68" t="s">
        <v>128</v>
      </c>
      <c r="C196" s="120"/>
      <c r="D196" s="121"/>
      <c r="E196" s="120"/>
      <c r="F196" s="121"/>
      <c r="G196" s="120"/>
      <c r="H196" s="121"/>
      <c r="I196" s="120"/>
      <c r="J196" s="123">
        <f>+E178+J178+E188+J188</f>
        <v>213177</v>
      </c>
      <c r="K196" s="120"/>
      <c r="L196" s="122"/>
      <c r="M196" s="113"/>
      <c r="N196" s="6"/>
    </row>
    <row r="197" spans="1:14" ht="15.75">
      <c r="A197" s="28"/>
      <c r="B197" s="68" t="s">
        <v>129</v>
      </c>
      <c r="C197" s="120"/>
      <c r="D197" s="121"/>
      <c r="E197" s="120"/>
      <c r="F197" s="121"/>
      <c r="G197" s="120"/>
      <c r="H197" s="121"/>
      <c r="I197" s="120"/>
      <c r="J197" s="123">
        <f>L93</f>
        <v>39612</v>
      </c>
      <c r="K197" s="120"/>
      <c r="L197" s="122"/>
      <c r="M197" s="113"/>
      <c r="N197" s="6"/>
    </row>
    <row r="198" spans="1:14" ht="15.75">
      <c r="A198" s="28"/>
      <c r="B198" s="68" t="s">
        <v>130</v>
      </c>
      <c r="C198" s="120"/>
      <c r="D198" s="121"/>
      <c r="E198" s="120"/>
      <c r="F198" s="121"/>
      <c r="G198" s="120"/>
      <c r="H198" s="121"/>
      <c r="I198" s="120"/>
      <c r="J198" s="123">
        <v>-1789</v>
      </c>
      <c r="K198" s="120"/>
      <c r="L198" s="122"/>
      <c r="M198" s="113"/>
      <c r="N198" s="6"/>
    </row>
    <row r="199" spans="1:14" ht="15.75">
      <c r="A199" s="28"/>
      <c r="B199" s="68" t="s">
        <v>131</v>
      </c>
      <c r="C199" s="120"/>
      <c r="D199" s="121"/>
      <c r="E199" s="120"/>
      <c r="F199" s="121"/>
      <c r="G199" s="120"/>
      <c r="H199" s="121"/>
      <c r="I199" s="120"/>
      <c r="J199" s="123">
        <f>SUM(J196:J198)</f>
        <v>251000</v>
      </c>
      <c r="K199" s="120"/>
      <c r="L199" s="122"/>
      <c r="M199" s="113"/>
      <c r="N199" s="6"/>
    </row>
    <row r="200" spans="1:14" ht="15.75">
      <c r="A200" s="28"/>
      <c r="B200" s="68"/>
      <c r="C200" s="120"/>
      <c r="D200" s="121"/>
      <c r="E200" s="120"/>
      <c r="F200" s="121"/>
      <c r="G200" s="120"/>
      <c r="H200" s="121"/>
      <c r="I200" s="120"/>
      <c r="J200" s="123"/>
      <c r="K200" s="120"/>
      <c r="L200" s="122"/>
      <c r="M200" s="113"/>
      <c r="N200" s="6"/>
    </row>
    <row r="201" spans="1:14" ht="15.75">
      <c r="A201" s="28"/>
      <c r="B201" s="68" t="s">
        <v>132</v>
      </c>
      <c r="C201" s="120"/>
      <c r="D201" s="121"/>
      <c r="E201" s="120"/>
      <c r="F201" s="121"/>
      <c r="G201" s="120"/>
      <c r="H201" s="121"/>
      <c r="I201" s="120"/>
      <c r="J201" s="123">
        <f>L30</f>
        <v>251000</v>
      </c>
      <c r="K201" s="120"/>
      <c r="L201" s="122"/>
      <c r="M201" s="113"/>
      <c r="N201" s="6"/>
    </row>
    <row r="202" spans="1:14" ht="15.75">
      <c r="A202" s="28"/>
      <c r="B202" s="68"/>
      <c r="C202" s="120"/>
      <c r="D202" s="121"/>
      <c r="E202" s="120"/>
      <c r="F202" s="121"/>
      <c r="G202" s="120"/>
      <c r="H202" s="121"/>
      <c r="I202" s="120"/>
      <c r="J202" s="123"/>
      <c r="K202" s="120"/>
      <c r="L202" s="122"/>
      <c r="M202" s="113"/>
      <c r="N202" s="6"/>
    </row>
    <row r="203" spans="1:14" ht="15.75">
      <c r="A203" s="28"/>
      <c r="B203" s="68" t="s">
        <v>133</v>
      </c>
      <c r="C203" s="120"/>
      <c r="D203" s="121"/>
      <c r="E203" s="120"/>
      <c r="F203" s="121"/>
      <c r="G203" s="120"/>
      <c r="H203" s="121"/>
      <c r="I203" s="120"/>
      <c r="J203" s="123">
        <f>J199/J201</f>
        <v>1</v>
      </c>
      <c r="K203" s="120"/>
      <c r="L203" s="122"/>
      <c r="M203" s="113"/>
      <c r="N203" s="6"/>
    </row>
    <row r="204" spans="1:14" ht="15.75">
      <c r="A204" s="28"/>
      <c r="B204" s="29"/>
      <c r="C204" s="29"/>
      <c r="D204" s="36"/>
      <c r="E204" s="29"/>
      <c r="F204" s="29"/>
      <c r="G204" s="29"/>
      <c r="H204" s="66"/>
      <c r="I204" s="130"/>
      <c r="J204" s="67"/>
      <c r="K204" s="130"/>
      <c r="L204" s="99"/>
      <c r="M204" s="29"/>
      <c r="N204" s="6"/>
    </row>
    <row r="205" spans="1:14" ht="15.75">
      <c r="A205" s="131"/>
      <c r="B205" s="33" t="s">
        <v>134</v>
      </c>
      <c r="C205" s="132"/>
      <c r="D205" s="120" t="s">
        <v>153</v>
      </c>
      <c r="E205" s="122"/>
      <c r="F205" s="33" t="s">
        <v>166</v>
      </c>
      <c r="G205" s="133"/>
      <c r="H205" s="133"/>
      <c r="I205" s="133"/>
      <c r="J205" s="134"/>
      <c r="K205" s="32"/>
      <c r="L205" s="32"/>
      <c r="M205" s="32"/>
      <c r="N205" s="6"/>
    </row>
    <row r="206" spans="1:14" ht="15.75">
      <c r="A206" s="135"/>
      <c r="B206" s="15" t="s">
        <v>135</v>
      </c>
      <c r="C206" s="136"/>
      <c r="D206" s="137" t="s">
        <v>154</v>
      </c>
      <c r="E206" s="15"/>
      <c r="F206" s="15" t="s">
        <v>208</v>
      </c>
      <c r="G206" s="136"/>
      <c r="H206" s="136"/>
      <c r="I206" s="14"/>
      <c r="J206" s="14"/>
      <c r="K206" s="14"/>
      <c r="L206" s="14"/>
      <c r="M206" s="14"/>
      <c r="N206" s="6"/>
    </row>
    <row r="207" spans="1:14" ht="15.75">
      <c r="A207" s="135"/>
      <c r="B207" s="15" t="s">
        <v>136</v>
      </c>
      <c r="C207" s="136"/>
      <c r="D207" s="137" t="s">
        <v>155</v>
      </c>
      <c r="E207" s="15"/>
      <c r="F207" s="15" t="s">
        <v>209</v>
      </c>
      <c r="G207" s="136"/>
      <c r="H207" s="136"/>
      <c r="I207" s="14"/>
      <c r="J207" s="14"/>
      <c r="K207" s="14"/>
      <c r="L207" s="14"/>
      <c r="M207" s="14"/>
      <c r="N207" s="6"/>
    </row>
    <row r="208" spans="1:14" ht="15.75">
      <c r="A208" s="135"/>
      <c r="B208" s="15"/>
      <c r="C208" s="136"/>
      <c r="D208" s="137"/>
      <c r="E208" s="15"/>
      <c r="F208" s="15"/>
      <c r="G208" s="136"/>
      <c r="H208" s="136"/>
      <c r="I208" s="14"/>
      <c r="J208" s="14"/>
      <c r="K208" s="14"/>
      <c r="L208" s="14"/>
      <c r="M208" s="14"/>
      <c r="N208" s="6"/>
    </row>
    <row r="209" spans="1:14" ht="15.75">
      <c r="A209" s="135"/>
      <c r="B209" s="15"/>
      <c r="C209" s="136"/>
      <c r="D209" s="137"/>
      <c r="E209" s="15"/>
      <c r="F209" s="15"/>
      <c r="G209" s="136"/>
      <c r="H209" s="136"/>
      <c r="I209" s="14"/>
      <c r="J209" s="14"/>
      <c r="K209" s="14"/>
      <c r="L209" s="14"/>
      <c r="M209" s="14"/>
      <c r="N209" s="6"/>
    </row>
    <row r="210" spans="1:14" ht="15.75">
      <c r="A210" s="135"/>
      <c r="B210" s="15" t="str">
        <f>+B148</f>
        <v>PPAF1 INVESTOR REPORT QUARTER ENDING NOVEMBER 2004</v>
      </c>
      <c r="C210" s="136"/>
      <c r="D210" s="137"/>
      <c r="E210" s="15"/>
      <c r="F210" s="15"/>
      <c r="G210" s="136"/>
      <c r="H210" s="136"/>
      <c r="I210" s="14"/>
      <c r="J210" s="14"/>
      <c r="K210" s="14"/>
      <c r="L210" s="14"/>
      <c r="M210" s="14"/>
      <c r="N210" s="6"/>
    </row>
    <row r="211" spans="1:13" ht="15">
      <c r="A211" s="138"/>
      <c r="B211" s="138"/>
      <c r="C211" s="138"/>
      <c r="D211" s="138"/>
      <c r="E211" s="138"/>
      <c r="F211" s="138"/>
      <c r="G211" s="138"/>
      <c r="H211" s="138"/>
      <c r="I211" s="138"/>
      <c r="J211" s="138"/>
      <c r="K211" s="138"/>
      <c r="L211" s="138"/>
      <c r="M211" s="138"/>
    </row>
  </sheetData>
  <printOptions horizontalCentered="1" verticalCentered="1"/>
  <pageMargins left="0.2362204724409449" right="0.4330708661417323" top="0.2362204724409449" bottom="0.7480314960629921" header="0" footer="0"/>
  <pageSetup horizontalDpi="600" verticalDpi="600" orientation="landscape" paperSize="9" scale="50" r:id="rId2"/>
  <rowBreaks count="4" manualBreakCount="4">
    <brk id="50" max="13" man="1"/>
    <brk id="97" max="13" man="1"/>
    <brk id="148" max="13" man="1"/>
    <brk id="211" max="0" man="1"/>
  </rowBreaks>
  <drawing r:id="rId1"/>
</worksheet>
</file>

<file path=xl/worksheets/sheet15.xml><?xml version="1.0" encoding="utf-8"?>
<worksheet xmlns="http://schemas.openxmlformats.org/spreadsheetml/2006/main" xmlns:r="http://schemas.openxmlformats.org/officeDocument/2006/relationships">
  <dimension ref="A1:P223"/>
  <sheetViews>
    <sheetView tabSelected="1" showOutlineSymbols="0" zoomScale="70" zoomScaleNormal="70" workbookViewId="0" topLeftCell="A1">
      <selection activeCell="A1" sqref="A1"/>
    </sheetView>
  </sheetViews>
  <sheetFormatPr defaultColWidth="8.88671875" defaultRowHeight="15"/>
  <cols>
    <col min="1" max="1" width="3.6640625" style="1" customWidth="1"/>
    <col min="2" max="2" width="51.6640625" style="1" customWidth="1"/>
    <col min="3" max="3" width="18.88671875" style="1" customWidth="1"/>
    <col min="4" max="4" width="14.6640625" style="1" customWidth="1"/>
    <col min="5" max="5" width="12.4453125" style="1" customWidth="1"/>
    <col min="6" max="6" width="14.6640625" style="1" customWidth="1"/>
    <col min="7" max="7" width="7.6640625" style="1" customWidth="1"/>
    <col min="8" max="8" width="13.6640625" style="1" customWidth="1"/>
    <col min="9" max="9" width="9.6640625" style="1" customWidth="1"/>
    <col min="10" max="10" width="13.6640625" style="1" customWidth="1"/>
    <col min="11" max="11" width="8.6640625" style="1" customWidth="1"/>
    <col min="12" max="12" width="15.6640625" style="1" customWidth="1"/>
    <col min="13" max="13" width="11.886718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8"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2" t="s">
        <v>210</v>
      </c>
      <c r="C5" s="13"/>
      <c r="D5" s="9"/>
      <c r="E5" s="9"/>
      <c r="F5" s="9"/>
      <c r="G5" s="9"/>
      <c r="H5" s="9"/>
      <c r="I5" s="9"/>
      <c r="J5" s="9"/>
      <c r="K5" s="9"/>
      <c r="L5" s="9"/>
      <c r="M5" s="9"/>
      <c r="N5" s="6"/>
    </row>
    <row r="6" spans="1:14" ht="15.75">
      <c r="A6" s="7"/>
      <c r="B6" s="12" t="s">
        <v>211</v>
      </c>
      <c r="C6" s="13"/>
      <c r="D6" s="9"/>
      <c r="E6" s="9"/>
      <c r="F6" s="9"/>
      <c r="G6" s="9"/>
      <c r="H6" s="9"/>
      <c r="I6" s="9"/>
      <c r="J6" s="9"/>
      <c r="K6" s="9"/>
      <c r="L6" s="9"/>
      <c r="M6" s="9"/>
      <c r="N6" s="6"/>
    </row>
    <row r="7" spans="1:14" ht="15.75">
      <c r="A7" s="7"/>
      <c r="B7" s="12" t="s">
        <v>4</v>
      </c>
      <c r="C7" s="13"/>
      <c r="D7" s="9"/>
      <c r="E7" s="9"/>
      <c r="F7" s="9"/>
      <c r="G7" s="9"/>
      <c r="H7" s="9"/>
      <c r="I7" s="9"/>
      <c r="J7" s="9"/>
      <c r="K7" s="9"/>
      <c r="L7" s="9"/>
      <c r="M7" s="9"/>
      <c r="N7" s="6"/>
    </row>
    <row r="8" spans="1:14" ht="15.75">
      <c r="A8" s="7"/>
      <c r="B8" s="14"/>
      <c r="C8" s="13"/>
      <c r="D8" s="9"/>
      <c r="E8" s="9"/>
      <c r="F8" s="9"/>
      <c r="G8" s="9"/>
      <c r="H8" s="9"/>
      <c r="I8" s="9"/>
      <c r="J8" s="9"/>
      <c r="K8" s="9"/>
      <c r="L8" s="9"/>
      <c r="M8" s="9"/>
      <c r="N8" s="6"/>
    </row>
    <row r="9" spans="1:14" ht="15.75">
      <c r="A9" s="7"/>
      <c r="B9" s="13"/>
      <c r="C9" s="13"/>
      <c r="D9" s="15"/>
      <c r="E9" s="15"/>
      <c r="F9" s="9"/>
      <c r="G9" s="9"/>
      <c r="H9" s="9"/>
      <c r="I9" s="9"/>
      <c r="J9" s="9"/>
      <c r="K9" s="9"/>
      <c r="L9" s="9"/>
      <c r="M9" s="9"/>
      <c r="N9" s="6"/>
    </row>
    <row r="10" spans="1:14" ht="15.75">
      <c r="A10" s="7"/>
      <c r="B10" s="15" t="s">
        <v>5</v>
      </c>
      <c r="C10" s="15"/>
      <c r="D10" s="9"/>
      <c r="E10" s="9"/>
      <c r="F10" s="9"/>
      <c r="G10" s="9"/>
      <c r="H10" s="9"/>
      <c r="I10" s="9"/>
      <c r="J10" s="9"/>
      <c r="K10" s="9"/>
      <c r="L10" s="9"/>
      <c r="M10" s="9"/>
      <c r="N10" s="6"/>
    </row>
    <row r="11" spans="1:14" ht="15.75">
      <c r="A11" s="7"/>
      <c r="B11" s="15"/>
      <c r="C11" s="15"/>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6" t="s">
        <v>6</v>
      </c>
      <c r="C13" s="16"/>
      <c r="D13" s="17"/>
      <c r="E13" s="17"/>
      <c r="F13" s="17"/>
      <c r="G13" s="17"/>
      <c r="H13" s="17"/>
      <c r="I13" s="17"/>
      <c r="J13" s="17"/>
      <c r="K13" s="17"/>
      <c r="L13" s="18" t="s">
        <v>186</v>
      </c>
      <c r="M13" s="9"/>
      <c r="N13" s="6"/>
    </row>
    <row r="14" spans="1:14" ht="15.75">
      <c r="A14" s="7"/>
      <c r="B14" s="16" t="s">
        <v>7</v>
      </c>
      <c r="C14" s="16"/>
      <c r="D14" s="19" t="s">
        <v>140</v>
      </c>
      <c r="E14" s="20">
        <v>0.348</v>
      </c>
      <c r="F14" s="19" t="s">
        <v>150</v>
      </c>
      <c r="G14" s="20">
        <v>0.229</v>
      </c>
      <c r="H14" s="19" t="s">
        <v>156</v>
      </c>
      <c r="I14" s="20">
        <v>0.098</v>
      </c>
      <c r="J14" s="19" t="s">
        <v>165</v>
      </c>
      <c r="K14" s="20">
        <v>0.1</v>
      </c>
      <c r="L14" s="18"/>
      <c r="M14" s="17"/>
      <c r="N14" s="6"/>
    </row>
    <row r="15" spans="1:14" ht="15.75">
      <c r="A15" s="7"/>
      <c r="B15" s="16" t="s">
        <v>8</v>
      </c>
      <c r="C15" s="16"/>
      <c r="D15" s="19" t="s">
        <v>140</v>
      </c>
      <c r="E15" s="20">
        <v>0</v>
      </c>
      <c r="F15" s="19" t="s">
        <v>150</v>
      </c>
      <c r="G15" s="20">
        <v>0</v>
      </c>
      <c r="H15" s="19" t="s">
        <v>156</v>
      </c>
      <c r="I15" s="20">
        <v>0</v>
      </c>
      <c r="J15" s="19" t="s">
        <v>165</v>
      </c>
      <c r="K15" s="20">
        <v>0</v>
      </c>
      <c r="L15" s="18"/>
      <c r="M15" s="17"/>
      <c r="N15" s="6"/>
    </row>
    <row r="16" spans="1:14" ht="15.75">
      <c r="A16" s="7"/>
      <c r="B16" s="16" t="s">
        <v>9</v>
      </c>
      <c r="C16" s="16"/>
      <c r="D16" s="17"/>
      <c r="E16" s="17"/>
      <c r="F16" s="17"/>
      <c r="G16" s="17"/>
      <c r="H16" s="17"/>
      <c r="I16" s="17"/>
      <c r="J16" s="17"/>
      <c r="K16" s="17"/>
      <c r="L16" s="178">
        <v>37070</v>
      </c>
      <c r="M16" s="9"/>
      <c r="N16" s="6"/>
    </row>
    <row r="17" spans="1:14" ht="15.75">
      <c r="A17" s="7"/>
      <c r="B17" s="16" t="s">
        <v>10</v>
      </c>
      <c r="C17" s="16"/>
      <c r="D17" s="17"/>
      <c r="E17" s="17"/>
      <c r="F17" s="17"/>
      <c r="G17" s="17"/>
      <c r="H17" s="17"/>
      <c r="I17" s="17"/>
      <c r="J17" s="17"/>
      <c r="K17" s="17"/>
      <c r="L17" s="21">
        <v>38442</v>
      </c>
      <c r="M17" s="9"/>
      <c r="N17" s="6"/>
    </row>
    <row r="18" spans="1:14" ht="15.75">
      <c r="A18" s="7"/>
      <c r="B18" s="9"/>
      <c r="C18" s="9"/>
      <c r="D18" s="9"/>
      <c r="E18" s="9"/>
      <c r="F18" s="9"/>
      <c r="G18" s="9"/>
      <c r="H18" s="9"/>
      <c r="I18" s="9"/>
      <c r="J18" s="9"/>
      <c r="K18" s="9"/>
      <c r="L18" s="22"/>
      <c r="M18" s="9"/>
      <c r="N18" s="6"/>
    </row>
    <row r="19" spans="1:14" ht="15.75">
      <c r="A19" s="7"/>
      <c r="B19" s="23" t="s">
        <v>11</v>
      </c>
      <c r="C19" s="9"/>
      <c r="D19" s="9"/>
      <c r="E19" s="9"/>
      <c r="F19" s="9"/>
      <c r="G19" s="9"/>
      <c r="H19" s="9"/>
      <c r="I19" s="9"/>
      <c r="J19" s="22"/>
      <c r="K19" s="9"/>
      <c r="L19" s="14"/>
      <c r="M19" s="9"/>
      <c r="N19" s="6"/>
    </row>
    <row r="20" spans="1:14" ht="15.75">
      <c r="A20" s="7"/>
      <c r="B20" s="9"/>
      <c r="C20" s="9"/>
      <c r="D20" s="9"/>
      <c r="E20" s="9"/>
      <c r="F20" s="9"/>
      <c r="G20" s="9"/>
      <c r="H20" s="9"/>
      <c r="I20" s="9"/>
      <c r="J20" s="9"/>
      <c r="K20" s="9"/>
      <c r="L20" s="24"/>
      <c r="M20" s="9"/>
      <c r="N20" s="6"/>
    </row>
    <row r="21" spans="1:14" ht="15.75">
      <c r="A21" s="7"/>
      <c r="B21" s="9"/>
      <c r="C21" s="159" t="s">
        <v>137</v>
      </c>
      <c r="D21" s="161" t="s">
        <v>142</v>
      </c>
      <c r="E21" s="161"/>
      <c r="F21" s="161" t="s">
        <v>158</v>
      </c>
      <c r="G21" s="161"/>
      <c r="H21" s="161" t="s">
        <v>169</v>
      </c>
      <c r="I21" s="26"/>
      <c r="J21" s="27"/>
      <c r="K21" s="14"/>
      <c r="L21" s="14"/>
      <c r="M21" s="9"/>
      <c r="N21" s="6"/>
    </row>
    <row r="22" spans="1:14" ht="15.75">
      <c r="A22" s="28"/>
      <c r="B22" s="29" t="s">
        <v>12</v>
      </c>
      <c r="C22" s="160" t="s">
        <v>138</v>
      </c>
      <c r="D22" s="31" t="s">
        <v>143</v>
      </c>
      <c r="E22" s="31"/>
      <c r="F22" s="31" t="s">
        <v>159</v>
      </c>
      <c r="G22" s="31"/>
      <c r="H22" s="31" t="s">
        <v>170</v>
      </c>
      <c r="I22" s="31"/>
      <c r="J22" s="31"/>
      <c r="K22" s="32"/>
      <c r="L22" s="32"/>
      <c r="M22" s="29"/>
      <c r="N22" s="6"/>
    </row>
    <row r="23" spans="1:14" ht="15.75">
      <c r="A23" s="28"/>
      <c r="B23" s="29" t="s">
        <v>13</v>
      </c>
      <c r="C23" s="30"/>
      <c r="D23" s="31" t="s">
        <v>144</v>
      </c>
      <c r="E23" s="31"/>
      <c r="F23" s="31" t="s">
        <v>160</v>
      </c>
      <c r="G23" s="31"/>
      <c r="H23" s="31" t="s">
        <v>171</v>
      </c>
      <c r="I23" s="31"/>
      <c r="J23" s="31"/>
      <c r="K23" s="32"/>
      <c r="L23" s="32"/>
      <c r="M23" s="29"/>
      <c r="N23" s="6"/>
    </row>
    <row r="24" spans="1:14" ht="15.75">
      <c r="A24" s="28"/>
      <c r="B24" s="33" t="s">
        <v>14</v>
      </c>
      <c r="C24" s="33"/>
      <c r="D24" s="34" t="s">
        <v>143</v>
      </c>
      <c r="E24" s="34"/>
      <c r="F24" s="34" t="s">
        <v>159</v>
      </c>
      <c r="G24" s="34"/>
      <c r="H24" s="34" t="s">
        <v>170</v>
      </c>
      <c r="I24" s="34"/>
      <c r="J24" s="34"/>
      <c r="K24" s="35"/>
      <c r="L24" s="32"/>
      <c r="M24" s="29"/>
      <c r="N24" s="6"/>
    </row>
    <row r="25" spans="1:14" ht="15.75">
      <c r="A25" s="28"/>
      <c r="B25" s="33" t="s">
        <v>15</v>
      </c>
      <c r="C25" s="33"/>
      <c r="D25" s="34" t="s">
        <v>144</v>
      </c>
      <c r="E25" s="34"/>
      <c r="F25" s="34" t="s">
        <v>160</v>
      </c>
      <c r="G25" s="34"/>
      <c r="H25" s="34" t="s">
        <v>171</v>
      </c>
      <c r="I25" s="34"/>
      <c r="J25" s="34"/>
      <c r="K25" s="35"/>
      <c r="L25" s="32"/>
      <c r="M25" s="29"/>
      <c r="N25" s="6"/>
    </row>
    <row r="26" spans="1:14" ht="15.75">
      <c r="A26" s="28"/>
      <c r="B26" s="29" t="s">
        <v>16</v>
      </c>
      <c r="C26" s="29"/>
      <c r="D26" s="36" t="s">
        <v>145</v>
      </c>
      <c r="E26" s="31"/>
      <c r="F26" s="36" t="s">
        <v>161</v>
      </c>
      <c r="G26" s="31"/>
      <c r="H26" s="36" t="s">
        <v>172</v>
      </c>
      <c r="I26" s="31"/>
      <c r="J26" s="36"/>
      <c r="K26" s="32"/>
      <c r="L26" s="32"/>
      <c r="M26" s="29"/>
      <c r="N26" s="6"/>
    </row>
    <row r="27" spans="1:14" ht="15.75">
      <c r="A27" s="28"/>
      <c r="B27" s="29"/>
      <c r="C27" s="29"/>
      <c r="D27" s="29"/>
      <c r="E27" s="31"/>
      <c r="F27" s="31"/>
      <c r="G27" s="31"/>
      <c r="H27" s="31"/>
      <c r="I27" s="31"/>
      <c r="J27" s="31"/>
      <c r="K27" s="32"/>
      <c r="L27" s="32"/>
      <c r="M27" s="29"/>
      <c r="N27" s="6"/>
    </row>
    <row r="28" spans="1:14" ht="15.75">
      <c r="A28" s="28"/>
      <c r="B28" s="29" t="s">
        <v>17</v>
      </c>
      <c r="C28" s="29"/>
      <c r="D28" s="37">
        <v>178210</v>
      </c>
      <c r="E28" s="38"/>
      <c r="F28" s="37">
        <v>51450</v>
      </c>
      <c r="G28" s="37"/>
      <c r="H28" s="37">
        <v>21340</v>
      </c>
      <c r="I28" s="37"/>
      <c r="J28" s="37"/>
      <c r="K28" s="39"/>
      <c r="L28" s="37">
        <f>J28+H28+F28+D28</f>
        <v>251000</v>
      </c>
      <c r="M28" s="40"/>
      <c r="N28" s="6"/>
    </row>
    <row r="29" spans="1:14" ht="15.75">
      <c r="A29" s="28"/>
      <c r="B29" s="29" t="s">
        <v>18</v>
      </c>
      <c r="C29" s="44">
        <v>1</v>
      </c>
      <c r="D29" s="37">
        <v>178210</v>
      </c>
      <c r="E29" s="38"/>
      <c r="F29" s="37">
        <v>51450</v>
      </c>
      <c r="G29" s="37"/>
      <c r="H29" s="37">
        <v>21340</v>
      </c>
      <c r="I29" s="42"/>
      <c r="J29" s="37"/>
      <c r="K29" s="39"/>
      <c r="L29" s="37">
        <f>J29+H29+F29+D29</f>
        <v>251000</v>
      </c>
      <c r="M29" s="40"/>
      <c r="N29" s="6"/>
    </row>
    <row r="30" spans="1:14" ht="15.75">
      <c r="A30" s="43"/>
      <c r="B30" s="33" t="s">
        <v>19</v>
      </c>
      <c r="C30" s="44">
        <v>0</v>
      </c>
      <c r="D30" s="45">
        <v>0</v>
      </c>
      <c r="E30" s="46"/>
      <c r="F30" s="45">
        <v>0</v>
      </c>
      <c r="G30" s="45"/>
      <c r="H30" s="45">
        <v>0</v>
      </c>
      <c r="I30" s="45"/>
      <c r="J30" s="45"/>
      <c r="K30" s="47"/>
      <c r="L30" s="45">
        <f>J30+H30+F30+D30</f>
        <v>0</v>
      </c>
      <c r="M30" s="29"/>
      <c r="N30" s="6"/>
    </row>
    <row r="31" spans="1:14" ht="15.75">
      <c r="A31" s="28"/>
      <c r="B31" s="29" t="s">
        <v>20</v>
      </c>
      <c r="C31" s="155"/>
      <c r="D31" s="36" t="s">
        <v>146</v>
      </c>
      <c r="E31" s="29"/>
      <c r="F31" s="36" t="s">
        <v>162</v>
      </c>
      <c r="G31" s="36"/>
      <c r="H31" s="36" t="s">
        <v>173</v>
      </c>
      <c r="I31" s="36"/>
      <c r="J31" s="36"/>
      <c r="K31" s="32"/>
      <c r="L31" s="32"/>
      <c r="M31" s="29"/>
      <c r="N31" s="6"/>
    </row>
    <row r="32" spans="1:14" ht="15.75">
      <c r="A32" s="28"/>
      <c r="B32" s="29" t="s">
        <v>21</v>
      </c>
      <c r="C32" s="155"/>
      <c r="D32" s="49">
        <v>0.0515375</v>
      </c>
      <c r="E32" s="50"/>
      <c r="F32" s="49">
        <v>0.0571375</v>
      </c>
      <c r="G32" s="49"/>
      <c r="H32" s="49">
        <v>0.0711375</v>
      </c>
      <c r="I32" s="51"/>
      <c r="J32" s="49"/>
      <c r="K32" s="32"/>
      <c r="L32" s="51">
        <v>0</v>
      </c>
      <c r="M32" s="29"/>
      <c r="N32" s="6"/>
    </row>
    <row r="33" spans="1:14" ht="15.75">
      <c r="A33" s="28"/>
      <c r="B33" s="29" t="s">
        <v>22</v>
      </c>
      <c r="C33" s="155"/>
      <c r="D33" s="49">
        <v>0.0523938</v>
      </c>
      <c r="E33" s="50"/>
      <c r="F33" s="49">
        <v>0.0579938</v>
      </c>
      <c r="G33" s="49"/>
      <c r="H33" s="49">
        <v>0.0719938</v>
      </c>
      <c r="I33" s="51"/>
      <c r="J33" s="49"/>
      <c r="K33" s="32"/>
      <c r="L33" s="32"/>
      <c r="M33" s="29"/>
      <c r="N33" s="6"/>
    </row>
    <row r="34" spans="1:14" ht="15.75">
      <c r="A34" s="28"/>
      <c r="B34" s="29" t="s">
        <v>23</v>
      </c>
      <c r="C34" s="155"/>
      <c r="D34" s="36" t="s">
        <v>147</v>
      </c>
      <c r="E34" s="29"/>
      <c r="F34" s="36" t="s">
        <v>147</v>
      </c>
      <c r="G34" s="36"/>
      <c r="H34" s="36" t="s">
        <v>147</v>
      </c>
      <c r="I34" s="36"/>
      <c r="J34" s="36"/>
      <c r="K34" s="32"/>
      <c r="L34" s="32"/>
      <c r="M34" s="29"/>
      <c r="N34" s="6"/>
    </row>
    <row r="35" spans="1:14" ht="15.75">
      <c r="A35" s="28"/>
      <c r="B35" s="29" t="s">
        <v>24</v>
      </c>
      <c r="C35" s="29"/>
      <c r="D35" s="52">
        <v>39248</v>
      </c>
      <c r="E35" s="29"/>
      <c r="F35" s="52">
        <v>39248</v>
      </c>
      <c r="G35" s="52"/>
      <c r="H35" s="52">
        <v>39248</v>
      </c>
      <c r="I35" s="36"/>
      <c r="J35" s="36"/>
      <c r="K35" s="32"/>
      <c r="L35" s="32"/>
      <c r="M35" s="29"/>
      <c r="N35" s="6"/>
    </row>
    <row r="36" spans="1:14" ht="15.75">
      <c r="A36" s="28"/>
      <c r="B36" s="29" t="s">
        <v>25</v>
      </c>
      <c r="C36" s="29"/>
      <c r="D36" s="36" t="s">
        <v>148</v>
      </c>
      <c r="E36" s="29"/>
      <c r="F36" s="36" t="s">
        <v>163</v>
      </c>
      <c r="G36" s="36"/>
      <c r="H36" s="36" t="s">
        <v>174</v>
      </c>
      <c r="I36" s="36"/>
      <c r="J36" s="36"/>
      <c r="K36" s="32"/>
      <c r="L36" s="32"/>
      <c r="M36" s="29"/>
      <c r="N36" s="6"/>
    </row>
    <row r="37" spans="1:14" ht="15.75">
      <c r="A37" s="28"/>
      <c r="B37" s="29"/>
      <c r="C37" s="29"/>
      <c r="D37" s="53"/>
      <c r="E37" s="53"/>
      <c r="F37" s="50"/>
      <c r="G37" s="53"/>
      <c r="H37" s="142"/>
      <c r="I37" s="53"/>
      <c r="J37" s="53"/>
      <c r="K37" s="53"/>
      <c r="L37" s="53"/>
      <c r="M37" s="29"/>
      <c r="N37" s="6"/>
    </row>
    <row r="38" spans="1:14" ht="15.75">
      <c r="A38" s="28"/>
      <c r="B38" s="29" t="s">
        <v>26</v>
      </c>
      <c r="C38" s="29"/>
      <c r="D38" s="29"/>
      <c r="E38" s="29"/>
      <c r="F38" s="50"/>
      <c r="G38" s="53"/>
      <c r="H38" s="142"/>
      <c r="I38" s="29"/>
      <c r="J38" s="29"/>
      <c r="K38" s="29"/>
      <c r="L38" s="51">
        <f>(H28+F28)/(D28)</f>
        <v>0.4084507042253521</v>
      </c>
      <c r="M38" s="29"/>
      <c r="N38" s="6"/>
    </row>
    <row r="39" spans="1:14" ht="15.75">
      <c r="A39" s="28"/>
      <c r="B39" s="29" t="s">
        <v>27</v>
      </c>
      <c r="C39" s="29"/>
      <c r="D39" s="50"/>
      <c r="E39" s="29"/>
      <c r="F39" s="50"/>
      <c r="G39" s="29"/>
      <c r="H39" s="50"/>
      <c r="I39" s="29"/>
      <c r="J39" s="29"/>
      <c r="K39" s="29"/>
      <c r="L39" s="51">
        <v>0</v>
      </c>
      <c r="M39" s="29"/>
      <c r="N39" s="6"/>
    </row>
    <row r="40" spans="1:14" ht="15.75">
      <c r="A40" s="28"/>
      <c r="B40" s="29" t="s">
        <v>28</v>
      </c>
      <c r="C40" s="29"/>
      <c r="D40" s="29"/>
      <c r="E40" s="29"/>
      <c r="F40" s="50"/>
      <c r="G40" s="29"/>
      <c r="H40" s="50"/>
      <c r="I40" s="29"/>
      <c r="J40" s="36" t="s">
        <v>142</v>
      </c>
      <c r="K40" s="36" t="s">
        <v>185</v>
      </c>
      <c r="L40" s="37">
        <v>38766</v>
      </c>
      <c r="M40" s="29"/>
      <c r="N40" s="6"/>
    </row>
    <row r="41" spans="1:14" ht="15.75">
      <c r="A41" s="28"/>
      <c r="B41" s="29"/>
      <c r="C41" s="29"/>
      <c r="D41" s="50"/>
      <c r="E41" s="29"/>
      <c r="F41" s="50"/>
      <c r="G41" s="29"/>
      <c r="H41" s="29"/>
      <c r="I41" s="29"/>
      <c r="J41" s="29" t="s">
        <v>177</v>
      </c>
      <c r="K41" s="29"/>
      <c r="L41" s="54"/>
      <c r="M41" s="29"/>
      <c r="N41" s="6"/>
    </row>
    <row r="42" spans="1:14" ht="15.75">
      <c r="A42" s="28"/>
      <c r="B42" s="29" t="s">
        <v>29</v>
      </c>
      <c r="C42" s="29"/>
      <c r="D42" s="29"/>
      <c r="E42" s="29"/>
      <c r="F42" s="29"/>
      <c r="G42" s="29"/>
      <c r="H42" s="29"/>
      <c r="I42" s="29"/>
      <c r="J42" s="36"/>
      <c r="K42" s="36"/>
      <c r="L42" s="36" t="s">
        <v>187</v>
      </c>
      <c r="M42" s="29"/>
      <c r="N42" s="6"/>
    </row>
    <row r="43" spans="1:14" ht="15.75">
      <c r="A43" s="43"/>
      <c r="B43" s="33" t="s">
        <v>30</v>
      </c>
      <c r="C43" s="33"/>
      <c r="D43" s="33"/>
      <c r="E43" s="33"/>
      <c r="F43" s="33"/>
      <c r="G43" s="33"/>
      <c r="H43" s="33"/>
      <c r="I43" s="33"/>
      <c r="J43" s="55"/>
      <c r="K43" s="55"/>
      <c r="L43" s="56">
        <v>38426</v>
      </c>
      <c r="M43" s="33"/>
      <c r="N43" s="6"/>
    </row>
    <row r="44" spans="1:14" ht="15.75">
      <c r="A44" s="28"/>
      <c r="B44" s="29" t="s">
        <v>31</v>
      </c>
      <c r="C44" s="29"/>
      <c r="D44" s="29"/>
      <c r="E44" s="29"/>
      <c r="F44" s="29"/>
      <c r="G44" s="29"/>
      <c r="H44" s="32"/>
      <c r="I44" s="29">
        <f>L44-J44+1</f>
        <v>91</v>
      </c>
      <c r="J44" s="58">
        <v>38245</v>
      </c>
      <c r="K44" s="59"/>
      <c r="L44" s="58">
        <v>38335</v>
      </c>
      <c r="M44" s="29"/>
      <c r="N44" s="6"/>
    </row>
    <row r="45" spans="1:14" ht="15.75">
      <c r="A45" s="28"/>
      <c r="B45" s="29" t="s">
        <v>32</v>
      </c>
      <c r="C45" s="29"/>
      <c r="D45" s="29"/>
      <c r="E45" s="29"/>
      <c r="F45" s="29"/>
      <c r="G45" s="29"/>
      <c r="H45" s="32"/>
      <c r="I45" s="29">
        <f>L45-J45+1</f>
        <v>90</v>
      </c>
      <c r="J45" s="58">
        <v>38336</v>
      </c>
      <c r="K45" s="59"/>
      <c r="L45" s="58">
        <v>38425</v>
      </c>
      <c r="M45" s="29"/>
      <c r="N45" s="6"/>
    </row>
    <row r="46" spans="1:14" ht="15.75">
      <c r="A46" s="28"/>
      <c r="B46" s="29" t="s">
        <v>33</v>
      </c>
      <c r="C46" s="29"/>
      <c r="D46" s="29"/>
      <c r="E46" s="29"/>
      <c r="F46" s="29"/>
      <c r="G46" s="29"/>
      <c r="H46" s="29"/>
      <c r="I46" s="29"/>
      <c r="J46" s="58"/>
      <c r="K46" s="59"/>
      <c r="L46" s="58" t="s">
        <v>188</v>
      </c>
      <c r="M46" s="29"/>
      <c r="N46" s="6"/>
    </row>
    <row r="47" spans="1:14" ht="15.75">
      <c r="A47" s="28"/>
      <c r="B47" s="29" t="s">
        <v>34</v>
      </c>
      <c r="C47" s="29"/>
      <c r="D47" s="29"/>
      <c r="E47" s="29"/>
      <c r="F47" s="29"/>
      <c r="G47" s="29"/>
      <c r="H47" s="29"/>
      <c r="I47" s="29"/>
      <c r="J47" s="58"/>
      <c r="K47" s="59"/>
      <c r="L47" s="58">
        <v>38412</v>
      </c>
      <c r="M47" s="29"/>
      <c r="N47" s="6"/>
    </row>
    <row r="48" spans="1:14" ht="15.75">
      <c r="A48" s="28"/>
      <c r="B48" s="29"/>
      <c r="C48" s="29"/>
      <c r="D48" s="29"/>
      <c r="E48" s="29"/>
      <c r="F48" s="29"/>
      <c r="G48" s="29"/>
      <c r="H48" s="29"/>
      <c r="I48" s="29"/>
      <c r="J48" s="29"/>
      <c r="K48" s="29"/>
      <c r="L48" s="60"/>
      <c r="M48" s="29"/>
      <c r="N48" s="6"/>
    </row>
    <row r="49" spans="1:14" ht="15.75">
      <c r="A49" s="7"/>
      <c r="B49" s="9"/>
      <c r="C49" s="9"/>
      <c r="D49" s="9"/>
      <c r="E49" s="9"/>
      <c r="F49" s="9"/>
      <c r="G49" s="9"/>
      <c r="H49" s="9"/>
      <c r="I49" s="9"/>
      <c r="J49" s="9"/>
      <c r="K49" s="9"/>
      <c r="L49" s="61"/>
      <c r="M49" s="9"/>
      <c r="N49" s="6"/>
    </row>
    <row r="50" spans="1:14" ht="16.5" thickBot="1">
      <c r="A50" s="144"/>
      <c r="B50" s="145" t="s">
        <v>212</v>
      </c>
      <c r="C50" s="146"/>
      <c r="D50" s="146"/>
      <c r="E50" s="146"/>
      <c r="F50" s="146"/>
      <c r="G50" s="146"/>
      <c r="H50" s="146"/>
      <c r="I50" s="146"/>
      <c r="J50" s="146"/>
      <c r="K50" s="146"/>
      <c r="L50" s="147"/>
      <c r="M50" s="148"/>
      <c r="N50" s="6"/>
    </row>
    <row r="51" spans="1:14" ht="15.75">
      <c r="A51" s="2"/>
      <c r="B51" s="5"/>
      <c r="C51" s="5"/>
      <c r="D51" s="5"/>
      <c r="E51" s="5"/>
      <c r="F51" s="5"/>
      <c r="G51" s="5"/>
      <c r="H51" s="5"/>
      <c r="I51" s="5"/>
      <c r="J51" s="5"/>
      <c r="K51" s="5"/>
      <c r="L51" s="62"/>
      <c r="M51" s="5"/>
      <c r="N51" s="6"/>
    </row>
    <row r="52" spans="1:14" ht="15.75">
      <c r="A52" s="7"/>
      <c r="B52" s="63" t="s">
        <v>36</v>
      </c>
      <c r="C52" s="15"/>
      <c r="D52" s="9"/>
      <c r="E52" s="9"/>
      <c r="F52" s="9"/>
      <c r="G52" s="9"/>
      <c r="H52" s="9"/>
      <c r="I52" s="9"/>
      <c r="J52" s="9"/>
      <c r="K52" s="9"/>
      <c r="L52" s="64"/>
      <c r="M52" s="9"/>
      <c r="N52" s="6"/>
    </row>
    <row r="53" spans="1:14" ht="15.75">
      <c r="A53" s="7"/>
      <c r="B53" s="15"/>
      <c r="C53" s="15"/>
      <c r="D53" s="9"/>
      <c r="E53" s="9"/>
      <c r="F53" s="9"/>
      <c r="G53" s="9"/>
      <c r="H53" s="9"/>
      <c r="I53" s="9"/>
      <c r="J53" s="9"/>
      <c r="K53" s="9"/>
      <c r="L53" s="64"/>
      <c r="M53" s="9"/>
      <c r="N53" s="6"/>
    </row>
    <row r="54" spans="1:14" ht="47.25">
      <c r="A54" s="7"/>
      <c r="B54" s="65"/>
      <c r="C54" s="162" t="s">
        <v>139</v>
      </c>
      <c r="D54" s="162" t="s">
        <v>149</v>
      </c>
      <c r="E54" s="162"/>
      <c r="F54" s="162" t="s">
        <v>164</v>
      </c>
      <c r="G54" s="162"/>
      <c r="H54" s="162" t="s">
        <v>175</v>
      </c>
      <c r="I54" s="162"/>
      <c r="J54" s="162" t="s">
        <v>178</v>
      </c>
      <c r="K54" s="162"/>
      <c r="L54" s="163" t="s">
        <v>189</v>
      </c>
      <c r="M54" s="158"/>
      <c r="N54" s="6"/>
    </row>
    <row r="55" spans="1:14" ht="15.75">
      <c r="A55" s="28"/>
      <c r="B55" s="29" t="s">
        <v>37</v>
      </c>
      <c r="C55" s="66">
        <f>81776+9633</f>
        <v>91409</v>
      </c>
      <c r="D55" s="66">
        <v>46348</v>
      </c>
      <c r="E55" s="66"/>
      <c r="F55" s="66">
        <f>1283+1191+211+38+147+2+43476</f>
        <v>46348</v>
      </c>
      <c r="G55" s="66"/>
      <c r="H55" s="66">
        <v>0</v>
      </c>
      <c r="I55" s="66"/>
      <c r="J55" s="66">
        <v>0</v>
      </c>
      <c r="K55" s="66"/>
      <c r="L55" s="67">
        <f>D55-F55+H55-J55</f>
        <v>0</v>
      </c>
      <c r="M55" s="29"/>
      <c r="N55" s="6"/>
    </row>
    <row r="56" spans="1:14" ht="15.75">
      <c r="A56" s="28"/>
      <c r="B56" s="29" t="s">
        <v>38</v>
      </c>
      <c r="C56" s="66">
        <v>1</v>
      </c>
      <c r="D56" s="66">
        <v>0</v>
      </c>
      <c r="E56" s="66"/>
      <c r="F56" s="66"/>
      <c r="G56" s="66"/>
      <c r="H56" s="66">
        <v>0</v>
      </c>
      <c r="I56" s="66"/>
      <c r="J56" s="66">
        <v>0</v>
      </c>
      <c r="K56" s="66"/>
      <c r="L56" s="67">
        <f>D56-F56</f>
        <v>0</v>
      </c>
      <c r="M56" s="29"/>
      <c r="N56" s="6"/>
    </row>
    <row r="57" spans="1:14" ht="15.75">
      <c r="A57" s="28"/>
      <c r="B57" s="29"/>
      <c r="C57" s="66"/>
      <c r="D57" s="66"/>
      <c r="E57" s="66"/>
      <c r="F57" s="66"/>
      <c r="G57" s="66"/>
      <c r="H57" s="66"/>
      <c r="I57" s="66"/>
      <c r="J57" s="66"/>
      <c r="K57" s="66"/>
      <c r="L57" s="67"/>
      <c r="M57" s="29"/>
      <c r="N57" s="6"/>
    </row>
    <row r="58" spans="1:14" ht="15.75">
      <c r="A58" s="28"/>
      <c r="B58" s="29" t="s">
        <v>39</v>
      </c>
      <c r="C58" s="66">
        <f>59449+801</f>
        <v>60250</v>
      </c>
      <c r="D58" s="66">
        <v>14663</v>
      </c>
      <c r="E58" s="66"/>
      <c r="F58" s="66">
        <f>4811-48+17384</f>
        <v>22147</v>
      </c>
      <c r="G58" s="66"/>
      <c r="H58" s="66">
        <v>7484</v>
      </c>
      <c r="I58" s="66"/>
      <c r="J58" s="66">
        <f>SUM(J55:J57)</f>
        <v>0</v>
      </c>
      <c r="K58" s="66"/>
      <c r="L58" s="67">
        <f>D58-F58+H58-J58</f>
        <v>0</v>
      </c>
      <c r="M58" s="29"/>
      <c r="N58" s="6"/>
    </row>
    <row r="59" spans="1:15" ht="15.75">
      <c r="A59" s="28"/>
      <c r="B59" s="29" t="s">
        <v>38</v>
      </c>
      <c r="C59" s="66">
        <v>136</v>
      </c>
      <c r="D59" s="66"/>
      <c r="E59" s="66"/>
      <c r="F59" s="66"/>
      <c r="G59" s="66"/>
      <c r="H59" s="66">
        <v>0</v>
      </c>
      <c r="I59" s="66"/>
      <c r="J59" s="66">
        <v>0</v>
      </c>
      <c r="K59" s="66"/>
      <c r="L59" s="68"/>
      <c r="M59" s="29"/>
      <c r="N59" s="6"/>
      <c r="O59" s="179"/>
    </row>
    <row r="60" spans="1:14" ht="15.75">
      <c r="A60" s="28"/>
      <c r="B60" s="69"/>
      <c r="C60" s="66"/>
      <c r="D60" s="66"/>
      <c r="E60" s="66"/>
      <c r="F60" s="70"/>
      <c r="G60" s="66"/>
      <c r="H60" s="66"/>
      <c r="I60" s="66"/>
      <c r="J60" s="66"/>
      <c r="K60" s="66"/>
      <c r="L60" s="68"/>
      <c r="M60" s="29"/>
      <c r="N60" s="6"/>
    </row>
    <row r="61" spans="1:14" ht="15.75">
      <c r="A61" s="28"/>
      <c r="B61" s="29" t="s">
        <v>40</v>
      </c>
      <c r="C61" s="66">
        <v>25730</v>
      </c>
      <c r="D61" s="66">
        <v>107976</v>
      </c>
      <c r="E61" s="66"/>
      <c r="F61" s="66">
        <f>12441+107+0.4+113710</f>
        <v>126258.4</v>
      </c>
      <c r="G61" s="66"/>
      <c r="H61" s="66">
        <f>18150+132</f>
        <v>18282</v>
      </c>
      <c r="I61" s="66"/>
      <c r="J61" s="66">
        <v>0</v>
      </c>
      <c r="K61" s="66"/>
      <c r="L61" s="67">
        <f>D61-F61+H61-J61</f>
        <v>-0.39999999999417923</v>
      </c>
      <c r="M61" s="29"/>
      <c r="N61" s="6"/>
    </row>
    <row r="62" spans="1:14" ht="15.75">
      <c r="A62" s="28"/>
      <c r="B62" s="29" t="s">
        <v>38</v>
      </c>
      <c r="C62" s="66">
        <v>260</v>
      </c>
      <c r="D62" s="67">
        <v>0</v>
      </c>
      <c r="E62" s="66"/>
      <c r="F62" s="66"/>
      <c r="G62" s="66"/>
      <c r="H62" s="66">
        <v>0</v>
      </c>
      <c r="I62" s="66"/>
      <c r="J62" s="66">
        <v>0</v>
      </c>
      <c r="K62" s="66"/>
      <c r="L62" s="67">
        <f>D62-F62+H62-J62</f>
        <v>0</v>
      </c>
      <c r="M62" s="29"/>
      <c r="N62" s="6"/>
    </row>
    <row r="63" spans="1:14" ht="15.75">
      <c r="A63" s="28"/>
      <c r="B63" s="29"/>
      <c r="C63" s="66"/>
      <c r="D63" s="67"/>
      <c r="E63" s="66"/>
      <c r="F63" s="66"/>
      <c r="G63" s="66"/>
      <c r="H63" s="66"/>
      <c r="I63" s="66"/>
      <c r="J63" s="66"/>
      <c r="K63" s="66"/>
      <c r="L63" s="67"/>
      <c r="M63" s="29"/>
      <c r="N63" s="6"/>
    </row>
    <row r="64" spans="1:14" ht="15.75">
      <c r="A64" s="28"/>
      <c r="B64" s="29" t="s">
        <v>41</v>
      </c>
      <c r="C64" s="66">
        <v>26410</v>
      </c>
      <c r="D64" s="67">
        <v>71626</v>
      </c>
      <c r="E64" s="66"/>
      <c r="F64" s="66">
        <f>11707+437+158+63386</f>
        <v>75688</v>
      </c>
      <c r="G64" s="66"/>
      <c r="H64" s="66">
        <v>4062</v>
      </c>
      <c r="I64" s="66"/>
      <c r="J64" s="66">
        <v>0</v>
      </c>
      <c r="K64" s="66"/>
      <c r="L64" s="67">
        <f>D64-F64+H64-J64</f>
        <v>0</v>
      </c>
      <c r="M64" s="29"/>
      <c r="N64" s="6"/>
    </row>
    <row r="65" spans="1:14" ht="15.75">
      <c r="A65" s="28"/>
      <c r="B65" s="29" t="s">
        <v>38</v>
      </c>
      <c r="C65" s="66">
        <v>229</v>
      </c>
      <c r="D65" s="67"/>
      <c r="E65" s="66"/>
      <c r="F65" s="66"/>
      <c r="G65" s="66"/>
      <c r="H65" s="66">
        <v>0</v>
      </c>
      <c r="I65" s="66"/>
      <c r="J65" s="66">
        <v>0</v>
      </c>
      <c r="K65" s="66"/>
      <c r="L65" s="67"/>
      <c r="M65" s="29"/>
      <c r="N65" s="6"/>
    </row>
    <row r="66" spans="1:14" ht="15.75">
      <c r="A66" s="28"/>
      <c r="B66" s="66"/>
      <c r="C66" s="66"/>
      <c r="D66" s="67"/>
      <c r="E66" s="66"/>
      <c r="F66" s="66"/>
      <c r="G66" s="66"/>
      <c r="H66" s="66"/>
      <c r="I66" s="66"/>
      <c r="J66" s="66"/>
      <c r="K66" s="66"/>
      <c r="L66" s="67"/>
      <c r="M66" s="29"/>
      <c r="N66" s="6"/>
    </row>
    <row r="67" spans="1:14" ht="15.75">
      <c r="A67" s="28"/>
      <c r="B67" s="29" t="s">
        <v>42</v>
      </c>
      <c r="C67" s="66">
        <f>SUM(C55:C65)</f>
        <v>204425</v>
      </c>
      <c r="D67" s="66">
        <f>SUM(D55:D64)</f>
        <v>240613</v>
      </c>
      <c r="E67" s="66"/>
      <c r="F67" s="66">
        <f>SUM(F55:F65)</f>
        <v>270441.4</v>
      </c>
      <c r="G67" s="66"/>
      <c r="H67" s="66">
        <f>SUM(H55:H65)</f>
        <v>29828</v>
      </c>
      <c r="I67" s="66"/>
      <c r="J67" s="66">
        <f>SUM(J62:J66)</f>
        <v>0</v>
      </c>
      <c r="K67" s="66"/>
      <c r="L67" s="66">
        <f>SUM(L55:L66)</f>
        <v>-0.39999999999417923</v>
      </c>
      <c r="M67" s="29"/>
      <c r="N67" s="6"/>
    </row>
    <row r="68" spans="1:14" ht="15.75">
      <c r="A68" s="28"/>
      <c r="B68" s="29"/>
      <c r="C68" s="66"/>
      <c r="D68" s="68"/>
      <c r="E68" s="66"/>
      <c r="F68" s="66"/>
      <c r="G68" s="66"/>
      <c r="H68" s="66"/>
      <c r="I68" s="66"/>
      <c r="J68" s="66"/>
      <c r="K68" s="66"/>
      <c r="L68" s="68"/>
      <c r="M68" s="29"/>
      <c r="N68" s="6"/>
    </row>
    <row r="69" spans="1:14" ht="15.75">
      <c r="A69" s="28"/>
      <c r="B69" s="29" t="s">
        <v>43</v>
      </c>
      <c r="C69" s="66">
        <f>-1789-10434</f>
        <v>-12223</v>
      </c>
      <c r="D69" s="66">
        <v>-29219</v>
      </c>
      <c r="E69" s="66"/>
      <c r="F69" s="66">
        <v>-29219</v>
      </c>
      <c r="G69" s="66"/>
      <c r="H69" s="66"/>
      <c r="I69" s="66"/>
      <c r="J69" s="66"/>
      <c r="K69" s="66"/>
      <c r="L69" s="66">
        <f>D69-F69</f>
        <v>0</v>
      </c>
      <c r="M69" s="29"/>
      <c r="N69" s="6"/>
    </row>
    <row r="70" spans="1:15" ht="15.75">
      <c r="A70" s="28"/>
      <c r="B70" s="29" t="s">
        <v>44</v>
      </c>
      <c r="C70" s="66">
        <v>58798</v>
      </c>
      <c r="D70" s="68">
        <v>39606</v>
      </c>
      <c r="E70" s="66"/>
      <c r="F70" s="66">
        <f>SUM(F67:F69)</f>
        <v>241222.40000000002</v>
      </c>
      <c r="G70" s="66"/>
      <c r="H70" s="66">
        <f>-H67</f>
        <v>-29828</v>
      </c>
      <c r="I70" s="66"/>
      <c r="J70" s="66"/>
      <c r="K70" s="66"/>
      <c r="L70" s="68">
        <f>D70+F70+H70+D74</f>
        <v>251000.40000000002</v>
      </c>
      <c r="M70" s="29"/>
      <c r="N70" s="6"/>
      <c r="O70" s="72"/>
    </row>
    <row r="71" spans="1:14" ht="15.75">
      <c r="A71" s="28"/>
      <c r="B71" s="29" t="s">
        <v>45</v>
      </c>
      <c r="C71" s="66">
        <v>0</v>
      </c>
      <c r="D71" s="68">
        <v>0</v>
      </c>
      <c r="E71" s="66"/>
      <c r="F71" s="66"/>
      <c r="G71" s="66"/>
      <c r="H71" s="66">
        <v>0</v>
      </c>
      <c r="I71" s="66"/>
      <c r="J71" s="66"/>
      <c r="K71" s="66"/>
      <c r="L71" s="68">
        <f>H71+D71</f>
        <v>0</v>
      </c>
      <c r="M71" s="29"/>
      <c r="N71" s="6"/>
    </row>
    <row r="72" spans="1:14" ht="15.75">
      <c r="A72" s="28"/>
      <c r="B72" s="29" t="s">
        <v>46</v>
      </c>
      <c r="C72" s="66">
        <v>0</v>
      </c>
      <c r="D72" s="68">
        <v>0</v>
      </c>
      <c r="E72" s="66"/>
      <c r="F72" s="66">
        <v>0</v>
      </c>
      <c r="G72" s="66"/>
      <c r="H72" s="66"/>
      <c r="I72" s="66"/>
      <c r="J72" s="66"/>
      <c r="K72" s="66"/>
      <c r="L72" s="68">
        <f>D72+F72+H72</f>
        <v>0</v>
      </c>
      <c r="M72" s="29"/>
      <c r="N72" s="6"/>
    </row>
    <row r="73" spans="1:14" ht="15.75">
      <c r="A73" s="28"/>
      <c r="B73" s="29" t="s">
        <v>213</v>
      </c>
      <c r="C73" s="66">
        <v>0</v>
      </c>
      <c r="D73" s="68"/>
      <c r="E73" s="66"/>
      <c r="F73" s="66">
        <v>-251000</v>
      </c>
      <c r="G73" s="66"/>
      <c r="H73" s="66"/>
      <c r="I73" s="66"/>
      <c r="J73" s="66"/>
      <c r="K73" s="66"/>
      <c r="L73" s="68">
        <f>F73</f>
        <v>-251000</v>
      </c>
      <c r="M73" s="29"/>
      <c r="N73" s="6"/>
    </row>
    <row r="74" spans="1:14" ht="15.75">
      <c r="A74" s="28"/>
      <c r="B74" s="29" t="s">
        <v>47</v>
      </c>
      <c r="C74" s="66">
        <v>0</v>
      </c>
      <c r="D74" s="68">
        <v>0</v>
      </c>
      <c r="E74" s="66"/>
      <c r="F74" s="66"/>
      <c r="G74" s="66"/>
      <c r="H74" s="156"/>
      <c r="I74" s="66"/>
      <c r="J74" s="66"/>
      <c r="K74" s="66"/>
      <c r="L74" s="68">
        <v>0</v>
      </c>
      <c r="M74" s="29"/>
      <c r="N74" s="6"/>
    </row>
    <row r="75" spans="1:14" ht="15.75">
      <c r="A75" s="28"/>
      <c r="B75" s="29" t="s">
        <v>19</v>
      </c>
      <c r="C75" s="68">
        <f>SUM(C67:C74)</f>
        <v>251000</v>
      </c>
      <c r="D75" s="68">
        <f>SUM(D67:D74)</f>
        <v>251000</v>
      </c>
      <c r="E75" s="66"/>
      <c r="F75" s="66">
        <v>0</v>
      </c>
      <c r="G75" s="66"/>
      <c r="H75" s="66"/>
      <c r="I75" s="66"/>
      <c r="J75" s="66"/>
      <c r="K75" s="66"/>
      <c r="L75" s="68">
        <f>SUM(L67:L74)</f>
        <v>2.9103830456733704E-11</v>
      </c>
      <c r="M75" s="29"/>
      <c r="N75" s="6"/>
    </row>
    <row r="76" spans="1:14" ht="15.75">
      <c r="A76" s="28"/>
      <c r="B76" s="66"/>
      <c r="C76" s="29"/>
      <c r="D76" s="29"/>
      <c r="E76" s="29"/>
      <c r="F76" s="29"/>
      <c r="G76" s="29"/>
      <c r="H76" s="29"/>
      <c r="I76" s="29"/>
      <c r="J76" s="36"/>
      <c r="K76" s="29"/>
      <c r="L76" s="36"/>
      <c r="M76" s="29"/>
      <c r="N76" s="6"/>
    </row>
    <row r="77" spans="1:14" ht="15.75">
      <c r="A77" s="7"/>
      <c r="B77" s="63" t="s">
        <v>48</v>
      </c>
      <c r="C77" s="16"/>
      <c r="D77" s="16"/>
      <c r="E77" s="16"/>
      <c r="F77" s="16"/>
      <c r="G77" s="16"/>
      <c r="H77" s="16"/>
      <c r="I77" s="19"/>
      <c r="J77" s="19"/>
      <c r="K77" s="19"/>
      <c r="L77" s="19" t="s">
        <v>190</v>
      </c>
      <c r="M77" s="16"/>
      <c r="N77" s="6"/>
    </row>
    <row r="78" spans="1:14" ht="15.75">
      <c r="A78" s="28"/>
      <c r="B78" s="29" t="s">
        <v>223</v>
      </c>
      <c r="C78" s="29"/>
      <c r="D78" s="29"/>
      <c r="E78" s="29"/>
      <c r="F78" s="29"/>
      <c r="G78" s="29"/>
      <c r="H78" s="29"/>
      <c r="I78" s="29"/>
      <c r="J78" s="66"/>
      <c r="K78" s="29"/>
      <c r="L78" s="67">
        <f>58258+241222-29219</f>
        <v>270261</v>
      </c>
      <c r="M78" s="29"/>
      <c r="N78" s="6"/>
    </row>
    <row r="79" spans="1:14" ht="15.75">
      <c r="A79" s="28"/>
      <c r="B79" s="29" t="s">
        <v>50</v>
      </c>
      <c r="C79" s="53"/>
      <c r="D79" s="57"/>
      <c r="E79" s="29"/>
      <c r="F79" s="29"/>
      <c r="G79" s="29"/>
      <c r="H79" s="29"/>
      <c r="I79" s="29"/>
      <c r="J79" s="66"/>
      <c r="K79" s="29"/>
      <c r="L79" s="67">
        <v>320</v>
      </c>
      <c r="M79" s="29"/>
      <c r="N79" s="6"/>
    </row>
    <row r="80" spans="1:14" ht="15.75">
      <c r="A80" s="28"/>
      <c r="B80" s="29" t="s">
        <v>214</v>
      </c>
      <c r="C80" s="53"/>
      <c r="D80" s="57"/>
      <c r="E80" s="29"/>
      <c r="F80" s="29"/>
      <c r="G80" s="29"/>
      <c r="H80" s="29"/>
      <c r="I80" s="29"/>
      <c r="J80" s="66"/>
      <c r="K80" s="29"/>
      <c r="L80" s="67">
        <v>-10793</v>
      </c>
      <c r="M80" s="29"/>
      <c r="N80" s="6"/>
    </row>
    <row r="81" spans="1:14" ht="15.75">
      <c r="A81" s="28"/>
      <c r="B81" s="29" t="s">
        <v>192</v>
      </c>
      <c r="C81" s="53"/>
      <c r="D81" s="57"/>
      <c r="E81" s="29"/>
      <c r="F81" s="29"/>
      <c r="G81" s="29"/>
      <c r="H81" s="29"/>
      <c r="I81" s="29"/>
      <c r="J81" s="66"/>
      <c r="K81" s="29"/>
      <c r="L81" s="67">
        <v>-21</v>
      </c>
      <c r="M81" s="29"/>
      <c r="N81" s="6"/>
    </row>
    <row r="82" spans="1:14" ht="15.75">
      <c r="A82" s="28"/>
      <c r="B82" s="29" t="s">
        <v>222</v>
      </c>
      <c r="C82" s="53"/>
      <c r="D82" s="57"/>
      <c r="E82" s="29"/>
      <c r="F82" s="29"/>
      <c r="G82" s="29"/>
      <c r="H82" s="29"/>
      <c r="I82" s="29"/>
      <c r="J82" s="66">
        <f>-L82</f>
        <v>251000</v>
      </c>
      <c r="K82" s="29"/>
      <c r="L82" s="67">
        <v>-251000</v>
      </c>
      <c r="M82" s="29"/>
      <c r="N82" s="6"/>
    </row>
    <row r="83" spans="1:14" ht="15.75">
      <c r="A83" s="28"/>
      <c r="B83" s="29" t="s">
        <v>205</v>
      </c>
      <c r="C83" s="29"/>
      <c r="D83" s="29"/>
      <c r="E83" s="29"/>
      <c r="F83" s="29"/>
      <c r="G83" s="29"/>
      <c r="H83" s="29"/>
      <c r="I83" s="29"/>
      <c r="J83" s="66"/>
      <c r="K83" s="29"/>
      <c r="L83" s="67">
        <v>0</v>
      </c>
      <c r="M83" s="29"/>
      <c r="N83" s="6"/>
    </row>
    <row r="84" spans="1:14" ht="15.75">
      <c r="A84" s="28"/>
      <c r="B84" s="29" t="s">
        <v>53</v>
      </c>
      <c r="C84" s="29"/>
      <c r="D84" s="29"/>
      <c r="E84" s="29"/>
      <c r="F84" s="29"/>
      <c r="G84" s="29"/>
      <c r="H84" s="29"/>
      <c r="I84" s="29"/>
      <c r="J84" s="66"/>
      <c r="K84" s="29"/>
      <c r="L84" s="67">
        <f>SUM(L78:L83)</f>
        <v>8767</v>
      </c>
      <c r="M84" s="29"/>
      <c r="N84" s="6"/>
    </row>
    <row r="85" spans="1:14" ht="15.75">
      <c r="A85" s="28"/>
      <c r="B85" s="29"/>
      <c r="C85" s="29"/>
      <c r="D85" s="29"/>
      <c r="E85" s="29"/>
      <c r="F85" s="29"/>
      <c r="G85" s="29"/>
      <c r="H85" s="29"/>
      <c r="I85" s="29"/>
      <c r="J85" s="66"/>
      <c r="K85" s="29"/>
      <c r="L85" s="68"/>
      <c r="M85" s="29"/>
      <c r="N85" s="6"/>
    </row>
    <row r="86" spans="1:14" ht="15.75">
      <c r="A86" s="28"/>
      <c r="B86" s="164" t="s">
        <v>54</v>
      </c>
      <c r="C86" s="73"/>
      <c r="D86" s="29"/>
      <c r="E86" s="29"/>
      <c r="F86" s="29"/>
      <c r="G86" s="29"/>
      <c r="H86" s="29"/>
      <c r="I86" s="29"/>
      <c r="J86" s="66"/>
      <c r="K86" s="29"/>
      <c r="L86" s="67"/>
      <c r="M86" s="29"/>
      <c r="N86" s="6"/>
    </row>
    <row r="87" spans="1:14" ht="15.75">
      <c r="A87" s="28">
        <v>1</v>
      </c>
      <c r="B87" s="29" t="s">
        <v>55</v>
      </c>
      <c r="C87" s="29"/>
      <c r="D87" s="29"/>
      <c r="E87" s="29"/>
      <c r="F87" s="29"/>
      <c r="G87" s="29"/>
      <c r="H87" s="29"/>
      <c r="I87" s="29"/>
      <c r="J87" s="29"/>
      <c r="K87" s="29"/>
      <c r="L87" s="67">
        <v>-4</v>
      </c>
      <c r="M87" s="29"/>
      <c r="N87" s="6"/>
    </row>
    <row r="88" spans="1:14" ht="15.75">
      <c r="A88" s="28">
        <f aca="true" t="shared" si="0" ref="A88:A95">A87+1</f>
        <v>2</v>
      </c>
      <c r="B88" s="29" t="s">
        <v>56</v>
      </c>
      <c r="C88" s="29"/>
      <c r="D88" s="29"/>
      <c r="E88" s="29"/>
      <c r="F88" s="29"/>
      <c r="G88" s="29"/>
      <c r="H88" s="29"/>
      <c r="I88" s="29"/>
      <c r="J88" s="29"/>
      <c r="K88" s="29"/>
      <c r="L88" s="67">
        <f>-507-92</f>
        <v>-599</v>
      </c>
      <c r="M88" s="29"/>
      <c r="N88" s="6"/>
    </row>
    <row r="89" spans="1:14" ht="15.75">
      <c r="A89" s="28">
        <f t="shared" si="0"/>
        <v>3</v>
      </c>
      <c r="B89" s="29" t="s">
        <v>57</v>
      </c>
      <c r="C89" s="29"/>
      <c r="D89" s="29"/>
      <c r="E89" s="29"/>
      <c r="F89" s="29"/>
      <c r="G89" s="29"/>
      <c r="H89" s="29"/>
      <c r="I89" s="29"/>
      <c r="J89" s="29"/>
      <c r="K89" s="29"/>
      <c r="L89" s="67">
        <v>-42</v>
      </c>
      <c r="M89" s="29"/>
      <c r="N89" s="6"/>
    </row>
    <row r="90" spans="1:14" ht="15.75">
      <c r="A90" s="28">
        <f t="shared" si="0"/>
        <v>4</v>
      </c>
      <c r="B90" s="29" t="s">
        <v>58</v>
      </c>
      <c r="C90" s="29"/>
      <c r="D90" s="29"/>
      <c r="E90" s="29"/>
      <c r="F90" s="29"/>
      <c r="G90" s="29"/>
      <c r="H90" s="29"/>
      <c r="I90" s="29"/>
      <c r="J90" s="29"/>
      <c r="K90" s="29"/>
      <c r="L90" s="67">
        <v>-2265</v>
      </c>
      <c r="M90" s="29"/>
      <c r="N90" s="6"/>
    </row>
    <row r="91" spans="1:14" ht="15.75">
      <c r="A91" s="28">
        <f t="shared" si="0"/>
        <v>5</v>
      </c>
      <c r="B91" s="29" t="s">
        <v>59</v>
      </c>
      <c r="C91" s="29"/>
      <c r="D91" s="29"/>
      <c r="E91" s="29"/>
      <c r="F91" s="29"/>
      <c r="G91" s="29"/>
      <c r="H91" s="29"/>
      <c r="I91" s="29"/>
      <c r="J91" s="29"/>
      <c r="K91" s="29"/>
      <c r="L91" s="67">
        <v>-5</v>
      </c>
      <c r="M91" s="29"/>
      <c r="N91" s="6"/>
    </row>
    <row r="92" spans="1:14" ht="15.75">
      <c r="A92" s="28">
        <f t="shared" si="0"/>
        <v>6</v>
      </c>
      <c r="B92" s="29" t="s">
        <v>60</v>
      </c>
      <c r="C92" s="29"/>
      <c r="D92" s="29"/>
      <c r="E92" s="29"/>
      <c r="F92" s="29"/>
      <c r="G92" s="29"/>
      <c r="H92" s="29"/>
      <c r="I92" s="29"/>
      <c r="J92" s="29"/>
      <c r="K92" s="29"/>
      <c r="L92" s="67">
        <v>-725</v>
      </c>
      <c r="M92" s="29"/>
      <c r="N92" s="6"/>
    </row>
    <row r="93" spans="1:14" ht="15.75">
      <c r="A93" s="28">
        <f t="shared" si="0"/>
        <v>7</v>
      </c>
      <c r="B93" s="29" t="s">
        <v>61</v>
      </c>
      <c r="C93" s="29"/>
      <c r="D93" s="29"/>
      <c r="E93" s="29"/>
      <c r="F93" s="29"/>
      <c r="G93" s="29"/>
      <c r="H93" s="29"/>
      <c r="I93" s="29"/>
      <c r="J93" s="29"/>
      <c r="K93" s="29"/>
      <c r="L93" s="67">
        <v>-374</v>
      </c>
      <c r="M93" s="29"/>
      <c r="N93" s="6"/>
    </row>
    <row r="94" spans="1:14" ht="15.75">
      <c r="A94" s="28">
        <f t="shared" si="0"/>
        <v>8</v>
      </c>
      <c r="B94" s="29" t="s">
        <v>62</v>
      </c>
      <c r="C94" s="29"/>
      <c r="D94" s="29"/>
      <c r="E94" s="29"/>
      <c r="F94" s="29"/>
      <c r="G94" s="29"/>
      <c r="H94" s="29"/>
      <c r="I94" s="29"/>
      <c r="J94" s="29"/>
      <c r="K94" s="29"/>
      <c r="L94" s="67">
        <v>0</v>
      </c>
      <c r="M94" s="29"/>
      <c r="N94" s="6"/>
    </row>
    <row r="95" spans="1:14" ht="15.75">
      <c r="A95" s="28">
        <f t="shared" si="0"/>
        <v>9</v>
      </c>
      <c r="B95" s="29" t="s">
        <v>44</v>
      </c>
      <c r="C95" s="29"/>
      <c r="D95" s="29"/>
      <c r="E95" s="29"/>
      <c r="F95" s="29"/>
      <c r="G95" s="29"/>
      <c r="H95" s="29"/>
      <c r="I95" s="29"/>
      <c r="J95" s="66"/>
      <c r="K95" s="29"/>
      <c r="L95" s="67">
        <v>0</v>
      </c>
      <c r="M95" s="29"/>
      <c r="N95" s="6"/>
    </row>
    <row r="96" spans="1:15" ht="15.75">
      <c r="A96" s="28">
        <f>A95+1</f>
        <v>10</v>
      </c>
      <c r="B96" s="29" t="s">
        <v>63</v>
      </c>
      <c r="C96" s="29"/>
      <c r="D96" s="29"/>
      <c r="E96" s="29"/>
      <c r="F96" s="29"/>
      <c r="G96" s="29"/>
      <c r="H96" s="29"/>
      <c r="I96" s="29"/>
      <c r="J96" s="29"/>
      <c r="K96" s="29"/>
      <c r="L96" s="67">
        <f>J208+SUM(L84:L93)+J210-J213</f>
        <v>4753</v>
      </c>
      <c r="M96" s="29"/>
      <c r="N96" s="6"/>
      <c r="O96" s="72"/>
    </row>
    <row r="97" spans="1:15" ht="15.75">
      <c r="A97" s="28"/>
      <c r="B97" s="164" t="s">
        <v>215</v>
      </c>
      <c r="C97" s="29"/>
      <c r="D97" s="29"/>
      <c r="E97" s="29"/>
      <c r="F97" s="29"/>
      <c r="G97" s="29"/>
      <c r="H97" s="29"/>
      <c r="I97" s="29"/>
      <c r="J97" s="29"/>
      <c r="K97" s="29"/>
      <c r="L97" s="67"/>
      <c r="M97" s="29"/>
      <c r="N97" s="6"/>
      <c r="O97" s="72"/>
    </row>
    <row r="98" spans="1:15" ht="15.75">
      <c r="A98" s="28"/>
      <c r="B98" s="93" t="s">
        <v>216</v>
      </c>
      <c r="C98" s="29"/>
      <c r="D98" s="29"/>
      <c r="E98" s="29"/>
      <c r="F98" s="29"/>
      <c r="G98" s="29"/>
      <c r="H98" s="29"/>
      <c r="I98" s="29"/>
      <c r="J98" s="66">
        <f>+J82</f>
        <v>251000</v>
      </c>
      <c r="K98" s="29"/>
      <c r="L98" s="67"/>
      <c r="M98" s="29"/>
      <c r="N98" s="6"/>
      <c r="O98" s="72"/>
    </row>
    <row r="99" spans="1:15" ht="15.75">
      <c r="A99" s="28"/>
      <c r="B99" s="29" t="s">
        <v>217</v>
      </c>
      <c r="C99" s="29"/>
      <c r="D99" s="29"/>
      <c r="E99" s="29"/>
      <c r="F99" s="29"/>
      <c r="G99" s="29"/>
      <c r="H99" s="29"/>
      <c r="I99" s="29"/>
      <c r="J99" s="180">
        <v>-178210</v>
      </c>
      <c r="K99" s="29"/>
      <c r="L99" s="67"/>
      <c r="M99" s="29"/>
      <c r="N99" s="6"/>
      <c r="O99" s="72"/>
    </row>
    <row r="100" spans="1:15" ht="15.75">
      <c r="A100" s="28"/>
      <c r="B100" s="29" t="s">
        <v>218</v>
      </c>
      <c r="C100" s="29"/>
      <c r="D100" s="29"/>
      <c r="E100" s="29"/>
      <c r="F100" s="29"/>
      <c r="G100" s="29"/>
      <c r="H100" s="29"/>
      <c r="I100" s="29"/>
      <c r="J100" s="180">
        <v>-51450</v>
      </c>
      <c r="K100" s="29"/>
      <c r="L100" s="67"/>
      <c r="M100" s="29"/>
      <c r="N100" s="6"/>
      <c r="O100" s="72"/>
    </row>
    <row r="101" spans="1:15" ht="15.75">
      <c r="A101" s="28"/>
      <c r="B101" s="29" t="s">
        <v>219</v>
      </c>
      <c r="C101" s="29"/>
      <c r="D101" s="29"/>
      <c r="E101" s="29"/>
      <c r="F101" s="29"/>
      <c r="G101" s="29"/>
      <c r="H101" s="29"/>
      <c r="I101" s="29"/>
      <c r="J101" s="180">
        <v>-21340</v>
      </c>
      <c r="K101" s="29"/>
      <c r="L101" s="67"/>
      <c r="M101" s="29"/>
      <c r="N101" s="6"/>
      <c r="O101" s="72"/>
    </row>
    <row r="102" spans="1:15" ht="15.75">
      <c r="A102" s="28"/>
      <c r="B102" s="29" t="s">
        <v>220</v>
      </c>
      <c r="C102" s="29"/>
      <c r="D102" s="29"/>
      <c r="E102" s="29"/>
      <c r="F102" s="29"/>
      <c r="G102" s="29"/>
      <c r="H102" s="29"/>
      <c r="I102" s="29"/>
      <c r="J102" s="180">
        <f>SUM(J99:J101)</f>
        <v>-251000</v>
      </c>
      <c r="K102" s="29"/>
      <c r="L102" s="67"/>
      <c r="M102" s="29"/>
      <c r="N102" s="6"/>
      <c r="O102" s="72"/>
    </row>
    <row r="103" spans="1:15" ht="15.75">
      <c r="A103" s="28"/>
      <c r="B103" s="29" t="s">
        <v>221</v>
      </c>
      <c r="C103" s="29"/>
      <c r="D103" s="29"/>
      <c r="E103" s="29"/>
      <c r="F103" s="29"/>
      <c r="G103" s="29"/>
      <c r="H103" s="29"/>
      <c r="I103" s="29"/>
      <c r="J103" s="66">
        <f>J98+J102</f>
        <v>0</v>
      </c>
      <c r="K103" s="29"/>
      <c r="L103" s="67"/>
      <c r="M103" s="29"/>
      <c r="N103" s="6"/>
      <c r="O103" s="72"/>
    </row>
    <row r="104" spans="1:15" ht="15.75">
      <c r="A104" s="28"/>
      <c r="B104" s="29"/>
      <c r="C104" s="29"/>
      <c r="D104" s="29"/>
      <c r="E104" s="29"/>
      <c r="F104" s="29"/>
      <c r="G104" s="29"/>
      <c r="H104" s="29"/>
      <c r="I104" s="29"/>
      <c r="J104" s="29"/>
      <c r="K104" s="29"/>
      <c r="L104" s="67"/>
      <c r="M104" s="29"/>
      <c r="N104" s="6"/>
      <c r="O104" s="72"/>
    </row>
    <row r="105" spans="1:15" ht="15.75">
      <c r="A105" s="28"/>
      <c r="B105" s="29"/>
      <c r="C105" s="29"/>
      <c r="D105" s="29"/>
      <c r="E105" s="29"/>
      <c r="F105" s="29"/>
      <c r="G105" s="29"/>
      <c r="H105" s="29"/>
      <c r="I105" s="29"/>
      <c r="J105" s="29"/>
      <c r="K105" s="29"/>
      <c r="L105" s="67"/>
      <c r="M105" s="29"/>
      <c r="N105" s="6"/>
      <c r="O105" s="72"/>
    </row>
    <row r="106" spans="1:14" ht="15.75">
      <c r="A106" s="28"/>
      <c r="B106" s="32"/>
      <c r="C106" s="29"/>
      <c r="D106" s="29"/>
      <c r="E106" s="29"/>
      <c r="F106" s="29"/>
      <c r="G106" s="29"/>
      <c r="H106" s="29"/>
      <c r="I106" s="29"/>
      <c r="J106" s="66"/>
      <c r="K106" s="66"/>
      <c r="L106" s="66"/>
      <c r="M106" s="29"/>
      <c r="N106" s="6"/>
    </row>
    <row r="107" spans="1:14" ht="15.75">
      <c r="A107" s="7"/>
      <c r="B107" s="14"/>
      <c r="C107" s="9"/>
      <c r="D107" s="9"/>
      <c r="E107" s="9"/>
      <c r="F107" s="9"/>
      <c r="G107" s="9"/>
      <c r="H107" s="9"/>
      <c r="I107" s="9"/>
      <c r="J107" s="74"/>
      <c r="K107" s="74"/>
      <c r="L107" s="74"/>
      <c r="M107" s="9"/>
      <c r="N107" s="6"/>
    </row>
    <row r="108" spans="1:14" ht="16.5" thickBot="1">
      <c r="A108" s="144"/>
      <c r="B108" s="145" t="str">
        <f>+B50</f>
        <v>PPAF1 INVESTOR REPORT QUARTER ENDING FEBRUARY 2005</v>
      </c>
      <c r="C108" s="146"/>
      <c r="D108" s="146"/>
      <c r="E108" s="146"/>
      <c r="F108" s="146"/>
      <c r="G108" s="146"/>
      <c r="H108" s="146"/>
      <c r="I108" s="146"/>
      <c r="J108" s="149"/>
      <c r="K108" s="149"/>
      <c r="L108" s="149"/>
      <c r="M108" s="148"/>
      <c r="N108" s="6"/>
    </row>
    <row r="109" spans="1:14" ht="15.75">
      <c r="A109" s="2"/>
      <c r="B109" s="5"/>
      <c r="C109" s="5"/>
      <c r="D109" s="5"/>
      <c r="E109" s="5"/>
      <c r="F109" s="5"/>
      <c r="G109" s="5"/>
      <c r="H109" s="5"/>
      <c r="I109" s="5"/>
      <c r="J109" s="75"/>
      <c r="K109" s="75"/>
      <c r="L109" s="75"/>
      <c r="M109" s="5"/>
      <c r="N109" s="6"/>
    </row>
    <row r="110" spans="1:14" ht="15.75">
      <c r="A110" s="76"/>
      <c r="B110" s="77" t="s">
        <v>64</v>
      </c>
      <c r="C110" s="78"/>
      <c r="D110" s="78"/>
      <c r="E110" s="78"/>
      <c r="F110" s="78"/>
      <c r="G110" s="78"/>
      <c r="H110" s="78"/>
      <c r="I110" s="78"/>
      <c r="J110" s="78"/>
      <c r="K110" s="78"/>
      <c r="L110" s="79"/>
      <c r="M110" s="80"/>
      <c r="N110" s="6"/>
    </row>
    <row r="111" spans="1:14" ht="15.75">
      <c r="A111" s="76"/>
      <c r="B111" s="78"/>
      <c r="C111" s="78"/>
      <c r="D111" s="78"/>
      <c r="E111" s="78"/>
      <c r="F111" s="78"/>
      <c r="G111" s="78"/>
      <c r="H111" s="78"/>
      <c r="I111" s="78"/>
      <c r="J111" s="78"/>
      <c r="K111" s="78"/>
      <c r="L111" s="79"/>
      <c r="M111" s="78"/>
      <c r="N111" s="6"/>
    </row>
    <row r="112" spans="1:14" ht="15.75">
      <c r="A112" s="7"/>
      <c r="B112" s="165" t="s">
        <v>65</v>
      </c>
      <c r="C112" s="15"/>
      <c r="D112" s="9"/>
      <c r="E112" s="9"/>
      <c r="F112" s="9"/>
      <c r="G112" s="9"/>
      <c r="H112" s="9"/>
      <c r="I112" s="9"/>
      <c r="J112" s="9"/>
      <c r="K112" s="9"/>
      <c r="L112" s="64"/>
      <c r="M112" s="9"/>
      <c r="N112" s="6"/>
    </row>
    <row r="113" spans="1:14" ht="15.75">
      <c r="A113" s="28"/>
      <c r="B113" s="29" t="s">
        <v>66</v>
      </c>
      <c r="C113" s="29"/>
      <c r="D113" s="29"/>
      <c r="E113" s="29"/>
      <c r="F113" s="29"/>
      <c r="G113" s="29"/>
      <c r="H113" s="29"/>
      <c r="I113" s="29"/>
      <c r="J113" s="29"/>
      <c r="K113" s="29"/>
      <c r="L113" s="67">
        <f>10793+400</f>
        <v>11193</v>
      </c>
      <c r="M113" s="29"/>
      <c r="N113" s="6"/>
    </row>
    <row r="114" spans="1:14" ht="15.75">
      <c r="A114" s="28"/>
      <c r="B114" s="29" t="s">
        <v>67</v>
      </c>
      <c r="C114" s="29"/>
      <c r="D114" s="29"/>
      <c r="E114" s="29"/>
      <c r="F114" s="29"/>
      <c r="G114" s="29"/>
      <c r="H114" s="29"/>
      <c r="I114" s="29"/>
      <c r="J114" s="29"/>
      <c r="K114" s="29"/>
      <c r="L114" s="67">
        <v>10793</v>
      </c>
      <c r="M114" s="29"/>
      <c r="N114" s="6"/>
    </row>
    <row r="115" spans="1:14" ht="15.75">
      <c r="A115" s="28"/>
      <c r="B115" s="29" t="s">
        <v>68</v>
      </c>
      <c r="C115" s="29"/>
      <c r="D115" s="29"/>
      <c r="E115" s="29"/>
      <c r="F115" s="29"/>
      <c r="G115" s="29"/>
      <c r="H115" s="29"/>
      <c r="I115" s="29"/>
      <c r="J115" s="29"/>
      <c r="K115" s="29"/>
      <c r="L115" s="67">
        <v>0</v>
      </c>
      <c r="M115" s="29"/>
      <c r="N115" s="6"/>
    </row>
    <row r="116" spans="1:14" ht="15.75">
      <c r="A116" s="28"/>
      <c r="B116" s="29" t="s">
        <v>214</v>
      </c>
      <c r="C116" s="29"/>
      <c r="D116" s="29"/>
      <c r="E116" s="29"/>
      <c r="F116" s="29"/>
      <c r="G116" s="29"/>
      <c r="H116" s="29"/>
      <c r="I116" s="29"/>
      <c r="J116" s="29"/>
      <c r="K116" s="29"/>
      <c r="L116" s="67">
        <v>-10793</v>
      </c>
      <c r="M116" s="29"/>
      <c r="N116" s="6"/>
    </row>
    <row r="117" spans="1:14" ht="15.75">
      <c r="A117" s="28"/>
      <c r="B117" s="29" t="s">
        <v>69</v>
      </c>
      <c r="C117" s="29"/>
      <c r="D117" s="29"/>
      <c r="E117" s="29"/>
      <c r="F117" s="29"/>
      <c r="G117" s="29"/>
      <c r="H117" s="29"/>
      <c r="I117" s="29"/>
      <c r="J117" s="29"/>
      <c r="K117" s="29"/>
      <c r="L117" s="67">
        <v>0</v>
      </c>
      <c r="M117" s="29"/>
      <c r="N117" s="6"/>
    </row>
    <row r="118" spans="1:14" ht="15.75">
      <c r="A118" s="28"/>
      <c r="B118" s="29" t="s">
        <v>70</v>
      </c>
      <c r="C118" s="29"/>
      <c r="D118" s="29"/>
      <c r="E118" s="29"/>
      <c r="F118" s="29"/>
      <c r="G118" s="29"/>
      <c r="H118" s="29"/>
      <c r="I118" s="29"/>
      <c r="J118" s="29"/>
      <c r="K118" s="29"/>
      <c r="L118" s="67">
        <v>0</v>
      </c>
      <c r="M118" s="29"/>
      <c r="N118" s="6"/>
    </row>
    <row r="119" spans="1:14" ht="15.75">
      <c r="A119" s="28"/>
      <c r="B119" s="29" t="s">
        <v>58</v>
      </c>
      <c r="C119" s="29"/>
      <c r="D119" s="29"/>
      <c r="E119" s="29"/>
      <c r="F119" s="29"/>
      <c r="G119" s="29"/>
      <c r="H119" s="29"/>
      <c r="I119" s="29"/>
      <c r="J119" s="29"/>
      <c r="K119" s="29"/>
      <c r="L119" s="67">
        <v>0</v>
      </c>
      <c r="M119" s="29"/>
      <c r="N119" s="6"/>
    </row>
    <row r="120" spans="1:14" ht="15.75">
      <c r="A120" s="28"/>
      <c r="B120" s="29" t="s">
        <v>60</v>
      </c>
      <c r="C120" s="29"/>
      <c r="D120" s="29"/>
      <c r="E120" s="29"/>
      <c r="F120" s="29"/>
      <c r="G120" s="29"/>
      <c r="H120" s="29"/>
      <c r="I120" s="29"/>
      <c r="J120" s="29"/>
      <c r="K120" s="29"/>
      <c r="L120" s="67">
        <v>0</v>
      </c>
      <c r="M120" s="29"/>
      <c r="N120" s="6"/>
    </row>
    <row r="121" spans="1:14" ht="15.75">
      <c r="A121" s="28"/>
      <c r="B121" s="29" t="s">
        <v>61</v>
      </c>
      <c r="C121" s="29"/>
      <c r="D121" s="29"/>
      <c r="E121" s="29"/>
      <c r="F121" s="29"/>
      <c r="G121" s="29"/>
      <c r="H121" s="29"/>
      <c r="I121" s="29"/>
      <c r="J121" s="29"/>
      <c r="K121" s="29"/>
      <c r="L121" s="67">
        <v>0</v>
      </c>
      <c r="M121" s="29"/>
      <c r="N121" s="6"/>
    </row>
    <row r="122" spans="1:14" ht="15.75">
      <c r="A122" s="28"/>
      <c r="B122" s="29" t="s">
        <v>71</v>
      </c>
      <c r="C122" s="29"/>
      <c r="D122" s="29"/>
      <c r="E122" s="29"/>
      <c r="F122" s="29"/>
      <c r="G122" s="29"/>
      <c r="H122" s="29"/>
      <c r="I122" s="29"/>
      <c r="J122" s="29"/>
      <c r="K122" s="29"/>
      <c r="L122" s="67">
        <f>SUM(L114:L121)</f>
        <v>0</v>
      </c>
      <c r="M122" s="29"/>
      <c r="N122" s="6"/>
    </row>
    <row r="123" spans="1:14" ht="15.75">
      <c r="A123" s="28"/>
      <c r="B123" s="29"/>
      <c r="C123" s="29"/>
      <c r="D123" s="29"/>
      <c r="E123" s="29"/>
      <c r="F123" s="29"/>
      <c r="G123" s="29"/>
      <c r="H123" s="29"/>
      <c r="I123" s="29"/>
      <c r="J123" s="29"/>
      <c r="K123" s="29"/>
      <c r="L123" s="81"/>
      <c r="M123" s="29"/>
      <c r="N123" s="6"/>
    </row>
    <row r="124" spans="1:14" ht="15.75">
      <c r="A124" s="7"/>
      <c r="B124" s="165" t="s">
        <v>72</v>
      </c>
      <c r="C124" s="15"/>
      <c r="D124" s="9"/>
      <c r="E124" s="9"/>
      <c r="F124" s="9"/>
      <c r="G124" s="157"/>
      <c r="H124" s="9"/>
      <c r="I124" s="9"/>
      <c r="J124" s="9"/>
      <c r="K124" s="9"/>
      <c r="L124" s="83"/>
      <c r="M124" s="9"/>
      <c r="N124" s="6"/>
    </row>
    <row r="125" spans="1:14" ht="15.75">
      <c r="A125" s="7"/>
      <c r="B125" s="15"/>
      <c r="C125" s="19" t="s">
        <v>140</v>
      </c>
      <c r="D125" s="19" t="s">
        <v>150</v>
      </c>
      <c r="E125" s="19" t="s">
        <v>156</v>
      </c>
      <c r="F125" s="19" t="s">
        <v>165</v>
      </c>
      <c r="G125" s="157"/>
      <c r="H125" s="157"/>
      <c r="I125" s="9"/>
      <c r="J125" s="9"/>
      <c r="K125" s="9"/>
      <c r="L125" s="83"/>
      <c r="M125" s="9"/>
      <c r="N125" s="6"/>
    </row>
    <row r="126" spans="1:14" ht="15.75">
      <c r="A126" s="28"/>
      <c r="B126" s="29" t="s">
        <v>73</v>
      </c>
      <c r="C126" s="66">
        <v>0</v>
      </c>
      <c r="D126" s="66">
        <v>0</v>
      </c>
      <c r="E126" s="66">
        <v>0</v>
      </c>
      <c r="F126" s="66">
        <v>0</v>
      </c>
      <c r="G126" s="156"/>
      <c r="H126" s="156"/>
      <c r="I126" s="29"/>
      <c r="J126" s="29"/>
      <c r="K126" s="29"/>
      <c r="L126" s="67">
        <f>SUM(C126:F126)</f>
        <v>0</v>
      </c>
      <c r="M126" s="29"/>
      <c r="N126" s="6"/>
    </row>
    <row r="127" spans="1:14" ht="15.75">
      <c r="A127" s="28"/>
      <c r="B127" s="29" t="s">
        <v>74</v>
      </c>
      <c r="C127" s="29">
        <v>0</v>
      </c>
      <c r="D127" s="29">
        <v>0</v>
      </c>
      <c r="E127" s="29">
        <v>0</v>
      </c>
      <c r="F127" s="29">
        <v>0</v>
      </c>
      <c r="G127" s="156"/>
      <c r="H127" s="156"/>
      <c r="I127" s="29"/>
      <c r="J127" s="29"/>
      <c r="K127" s="29"/>
      <c r="L127" s="67">
        <f>SUM(C127:F127)</f>
        <v>0</v>
      </c>
      <c r="M127" s="29"/>
      <c r="N127" s="6"/>
    </row>
    <row r="128" spans="1:14" ht="15.75">
      <c r="A128" s="28"/>
      <c r="B128" s="29" t="s">
        <v>75</v>
      </c>
      <c r="C128" s="29"/>
      <c r="D128" s="29"/>
      <c r="E128" s="29"/>
      <c r="F128" s="29"/>
      <c r="G128" s="29"/>
      <c r="H128" s="29"/>
      <c r="I128" s="29"/>
      <c r="J128" s="29"/>
      <c r="K128" s="29"/>
      <c r="L128" s="67">
        <f>SUM(L126:L127)</f>
        <v>0</v>
      </c>
      <c r="M128" s="29"/>
      <c r="N128" s="6"/>
    </row>
    <row r="129" spans="1:14" ht="15.75">
      <c r="A129" s="28"/>
      <c r="B129" s="29" t="s">
        <v>76</v>
      </c>
      <c r="C129" s="66">
        <v>0</v>
      </c>
      <c r="D129" s="29"/>
      <c r="E129" s="29"/>
      <c r="F129" s="29"/>
      <c r="G129" s="29"/>
      <c r="H129" s="29"/>
      <c r="I129" s="29"/>
      <c r="J129" s="29"/>
      <c r="K129" s="29"/>
      <c r="L129" s="85"/>
      <c r="M129" s="29"/>
      <c r="N129" s="6"/>
    </row>
    <row r="130" spans="1:14" ht="15.75">
      <c r="A130" s="7"/>
      <c r="B130" s="165" t="s">
        <v>77</v>
      </c>
      <c r="C130" s="15"/>
      <c r="D130" s="9"/>
      <c r="E130" s="9"/>
      <c r="F130" s="9"/>
      <c r="G130" s="9"/>
      <c r="H130" s="9"/>
      <c r="I130" s="9"/>
      <c r="J130" s="9"/>
      <c r="K130" s="9"/>
      <c r="L130" s="64"/>
      <c r="M130" s="9"/>
      <c r="N130" s="6"/>
    </row>
    <row r="131" spans="1:14" ht="15.75">
      <c r="A131" s="28"/>
      <c r="B131" s="29" t="s">
        <v>78</v>
      </c>
      <c r="C131" s="143"/>
      <c r="D131" s="143"/>
      <c r="E131" s="143"/>
      <c r="F131" s="143"/>
      <c r="G131" s="29"/>
      <c r="H131" s="29"/>
      <c r="I131" s="29"/>
      <c r="J131" s="29"/>
      <c r="K131" s="29"/>
      <c r="L131" s="67">
        <f>L67</f>
        <v>-0.39999999999417923</v>
      </c>
      <c r="M131" s="29"/>
      <c r="N131" s="6"/>
    </row>
    <row r="132" spans="1:14" ht="15.75">
      <c r="A132" s="28"/>
      <c r="B132" s="29" t="s">
        <v>79</v>
      </c>
      <c r="C132" s="86"/>
      <c r="D132" s="29"/>
      <c r="E132" s="29"/>
      <c r="F132" s="29"/>
      <c r="G132" s="29"/>
      <c r="H132" s="29"/>
      <c r="I132" s="29"/>
      <c r="J132" s="29"/>
      <c r="K132" s="29"/>
      <c r="L132" s="67">
        <v>0</v>
      </c>
      <c r="M132" s="29"/>
      <c r="N132" s="6"/>
    </row>
    <row r="133" spans="1:15" ht="15.75">
      <c r="A133" s="28"/>
      <c r="B133" s="29" t="s">
        <v>80</v>
      </c>
      <c r="C133" s="86"/>
      <c r="D133" s="29"/>
      <c r="E133" s="29"/>
      <c r="F133" s="29"/>
      <c r="G133" s="29"/>
      <c r="H133" s="29"/>
      <c r="I133" s="29"/>
      <c r="J133" s="29"/>
      <c r="K133" s="29"/>
      <c r="L133" s="67">
        <v>0</v>
      </c>
      <c r="M133" s="29"/>
      <c r="N133" s="6"/>
      <c r="O133" s="72"/>
    </row>
    <row r="134" spans="1:15" ht="15.75">
      <c r="A134" s="28"/>
      <c r="B134" s="29" t="s">
        <v>81</v>
      </c>
      <c r="C134" s="86"/>
      <c r="D134" s="29"/>
      <c r="E134" s="29"/>
      <c r="F134" s="29"/>
      <c r="G134" s="29"/>
      <c r="H134" s="29"/>
      <c r="I134" s="29"/>
      <c r="J134" s="29"/>
      <c r="K134" s="29"/>
      <c r="L134" s="67">
        <f>L75</f>
        <v>2.9103830456733704E-11</v>
      </c>
      <c r="M134" s="29"/>
      <c r="N134" s="6"/>
      <c r="O134" s="72"/>
    </row>
    <row r="135" spans="1:14" ht="15.75">
      <c r="A135" s="28"/>
      <c r="B135" s="29"/>
      <c r="C135" s="29"/>
      <c r="D135" s="29"/>
      <c r="E135" s="29"/>
      <c r="F135" s="29"/>
      <c r="G135" s="29"/>
      <c r="H135" s="29"/>
      <c r="I135" s="29"/>
      <c r="J135" s="29"/>
      <c r="K135" s="29"/>
      <c r="L135" s="85"/>
      <c r="M135" s="29"/>
      <c r="N135" s="6"/>
    </row>
    <row r="136" spans="1:14" ht="15.75">
      <c r="A136" s="7"/>
      <c r="B136" s="165" t="s">
        <v>82</v>
      </c>
      <c r="C136" s="158"/>
      <c r="D136" s="158"/>
      <c r="E136" s="158"/>
      <c r="F136" s="158"/>
      <c r="G136" s="158"/>
      <c r="H136" s="159" t="s">
        <v>176</v>
      </c>
      <c r="I136" s="166"/>
      <c r="J136" s="159" t="s">
        <v>179</v>
      </c>
      <c r="K136" s="158"/>
      <c r="L136" s="167" t="s">
        <v>131</v>
      </c>
      <c r="M136" s="177"/>
      <c r="N136" s="6"/>
    </row>
    <row r="137" spans="1:14" ht="15.75">
      <c r="A137" s="28"/>
      <c r="B137" s="29" t="s">
        <v>83</v>
      </c>
      <c r="C137" s="29"/>
      <c r="D137" s="29"/>
      <c r="E137" s="29"/>
      <c r="F137" s="29"/>
      <c r="G137" s="29"/>
      <c r="H137" s="67">
        <v>0</v>
      </c>
      <c r="I137" s="29"/>
      <c r="J137" s="89" t="s">
        <v>180</v>
      </c>
      <c r="K137" s="29"/>
      <c r="L137" s="67">
        <f>H137</f>
        <v>0</v>
      </c>
      <c r="M137" s="29"/>
      <c r="N137" s="6"/>
    </row>
    <row r="138" spans="1:14" ht="15.75">
      <c r="A138" s="28"/>
      <c r="B138" s="29" t="s">
        <v>84</v>
      </c>
      <c r="C138" s="29"/>
      <c r="D138" s="29"/>
      <c r="E138" s="29"/>
      <c r="F138" s="29"/>
      <c r="G138" s="29"/>
      <c r="H138" s="67">
        <f>'Nov 04'!H128</f>
        <v>808</v>
      </c>
      <c r="I138" s="29"/>
      <c r="J138" s="89" t="s">
        <v>180</v>
      </c>
      <c r="K138" s="29"/>
      <c r="L138" s="67">
        <f>H138</f>
        <v>808</v>
      </c>
      <c r="M138" s="29"/>
      <c r="N138" s="6"/>
    </row>
    <row r="139" spans="1:14" ht="15.75">
      <c r="A139" s="28"/>
      <c r="B139" s="29" t="s">
        <v>85</v>
      </c>
      <c r="C139" s="29"/>
      <c r="D139" s="29"/>
      <c r="E139" s="29"/>
      <c r="F139" s="29"/>
      <c r="G139" s="29"/>
      <c r="H139" s="67">
        <v>133</v>
      </c>
      <c r="I139" s="29"/>
      <c r="J139" s="89" t="s">
        <v>180</v>
      </c>
      <c r="K139" s="29"/>
      <c r="L139" s="67">
        <f>H139</f>
        <v>133</v>
      </c>
      <c r="M139" s="29"/>
      <c r="N139" s="6"/>
    </row>
    <row r="140" spans="1:14" ht="15.75">
      <c r="A140" s="28"/>
      <c r="B140" s="29" t="s">
        <v>86</v>
      </c>
      <c r="C140" s="29"/>
      <c r="D140" s="29"/>
      <c r="E140" s="29"/>
      <c r="F140" s="29"/>
      <c r="G140" s="29"/>
      <c r="H140" s="67">
        <f>SUM(H138:H139)</f>
        <v>941</v>
      </c>
      <c r="I140" s="29"/>
      <c r="J140" s="89" t="s">
        <v>180</v>
      </c>
      <c r="K140" s="29"/>
      <c r="L140" s="67">
        <f>H140</f>
        <v>941</v>
      </c>
      <c r="M140" s="29"/>
      <c r="N140" s="6"/>
    </row>
    <row r="141" spans="1:14" ht="15.75">
      <c r="A141" s="28"/>
      <c r="B141" s="29" t="s">
        <v>87</v>
      </c>
      <c r="C141" s="29"/>
      <c r="D141" s="29"/>
      <c r="E141" s="29"/>
      <c r="F141" s="29"/>
      <c r="G141" s="29"/>
      <c r="H141" s="67">
        <v>0</v>
      </c>
      <c r="I141" s="29"/>
      <c r="J141" s="89" t="s">
        <v>180</v>
      </c>
      <c r="K141" s="29"/>
      <c r="L141" s="67">
        <f>H141</f>
        <v>0</v>
      </c>
      <c r="M141" s="29"/>
      <c r="N141" s="6"/>
    </row>
    <row r="142" spans="1:14" ht="15.75">
      <c r="A142" s="28"/>
      <c r="B142" s="29"/>
      <c r="C142" s="29"/>
      <c r="D142" s="29"/>
      <c r="E142" s="29"/>
      <c r="F142" s="29"/>
      <c r="G142" s="29"/>
      <c r="H142" s="29"/>
      <c r="I142" s="29"/>
      <c r="J142" s="29"/>
      <c r="K142" s="29"/>
      <c r="L142" s="29"/>
      <c r="M142" s="29"/>
      <c r="N142" s="6"/>
    </row>
    <row r="143" spans="1:14" ht="15.75">
      <c r="A143" s="28"/>
      <c r="B143" s="32"/>
      <c r="C143" s="32"/>
      <c r="D143" s="32"/>
      <c r="E143" s="32"/>
      <c r="F143" s="32"/>
      <c r="G143" s="32"/>
      <c r="H143" s="32"/>
      <c r="I143" s="32"/>
      <c r="J143" s="32"/>
      <c r="K143" s="32"/>
      <c r="L143" s="32"/>
      <c r="M143" s="32"/>
      <c r="N143" s="6"/>
    </row>
    <row r="144" spans="1:14" ht="15.75">
      <c r="A144" s="90"/>
      <c r="B144" s="63" t="s">
        <v>88</v>
      </c>
      <c r="C144" s="91"/>
      <c r="D144" s="91"/>
      <c r="E144" s="91"/>
      <c r="F144" s="91"/>
      <c r="G144" s="21"/>
      <c r="H144" s="21"/>
      <c r="I144" s="21"/>
      <c r="J144" s="21">
        <v>38411</v>
      </c>
      <c r="K144" s="17"/>
      <c r="L144" s="17"/>
      <c r="M144" s="9"/>
      <c r="N144" s="6"/>
    </row>
    <row r="145" spans="1:14" ht="15.75">
      <c r="A145" s="92"/>
      <c r="B145" s="93" t="s">
        <v>89</v>
      </c>
      <c r="C145" s="94"/>
      <c r="D145" s="94"/>
      <c r="E145" s="94"/>
      <c r="F145" s="94"/>
      <c r="G145" s="95"/>
      <c r="H145" s="95"/>
      <c r="I145" s="95"/>
      <c r="J145" s="96">
        <v>0.1226</v>
      </c>
      <c r="K145" s="29"/>
      <c r="L145" s="29"/>
      <c r="M145" s="29"/>
      <c r="N145" s="6"/>
    </row>
    <row r="146" spans="1:14" ht="15.75">
      <c r="A146" s="92"/>
      <c r="B146" s="93" t="s">
        <v>90</v>
      </c>
      <c r="C146" s="94"/>
      <c r="D146" s="94"/>
      <c r="E146" s="94"/>
      <c r="F146" s="94"/>
      <c r="G146" s="95"/>
      <c r="H146" s="95"/>
      <c r="I146" s="95"/>
      <c r="J146" s="96">
        <v>0.0582</v>
      </c>
      <c r="K146" s="96"/>
      <c r="L146" s="29"/>
      <c r="M146" s="29"/>
      <c r="N146" s="6"/>
    </row>
    <row r="147" spans="1:14" ht="15.75">
      <c r="A147" s="92"/>
      <c r="B147" s="93" t="s">
        <v>91</v>
      </c>
      <c r="C147" s="94"/>
      <c r="D147" s="94"/>
      <c r="E147" s="94"/>
      <c r="F147" s="94"/>
      <c r="G147" s="95"/>
      <c r="H147" s="95"/>
      <c r="I147" s="95"/>
      <c r="J147" s="96">
        <f>J145-J146</f>
        <v>0.0644</v>
      </c>
      <c r="K147" s="29"/>
      <c r="L147" s="29"/>
      <c r="M147" s="29"/>
      <c r="N147" s="6"/>
    </row>
    <row r="148" spans="1:14" ht="15.75">
      <c r="A148" s="92"/>
      <c r="B148" s="93" t="s">
        <v>92</v>
      </c>
      <c r="C148" s="94"/>
      <c r="D148" s="94"/>
      <c r="E148" s="94"/>
      <c r="F148" s="94"/>
      <c r="G148" s="95"/>
      <c r="H148" s="95"/>
      <c r="I148" s="95"/>
      <c r="J148" s="96">
        <v>0.1085</v>
      </c>
      <c r="K148" s="29"/>
      <c r="L148" s="29"/>
      <c r="M148" s="29"/>
      <c r="N148" s="6"/>
    </row>
    <row r="149" spans="1:14" ht="15.75">
      <c r="A149" s="92"/>
      <c r="B149" s="93" t="s">
        <v>93</v>
      </c>
      <c r="C149" s="94"/>
      <c r="D149" s="94"/>
      <c r="E149" s="94"/>
      <c r="F149" s="94"/>
      <c r="G149" s="95"/>
      <c r="H149" s="95"/>
      <c r="I149" s="95"/>
      <c r="J149" s="96">
        <f>L32</f>
        <v>0</v>
      </c>
      <c r="K149" s="29"/>
      <c r="L149" s="29"/>
      <c r="M149" s="29"/>
      <c r="N149" s="6"/>
    </row>
    <row r="150" spans="1:14" ht="15.75">
      <c r="A150" s="92"/>
      <c r="B150" s="93" t="s">
        <v>94</v>
      </c>
      <c r="C150" s="94"/>
      <c r="D150" s="94"/>
      <c r="E150" s="94"/>
      <c r="F150" s="94"/>
      <c r="G150" s="95"/>
      <c r="H150" s="95"/>
      <c r="I150" s="95"/>
      <c r="J150" s="96">
        <v>0</v>
      </c>
      <c r="K150" s="29"/>
      <c r="L150" s="29"/>
      <c r="M150" s="29"/>
      <c r="N150" s="6"/>
    </row>
    <row r="151" spans="1:14" ht="15.75">
      <c r="A151" s="92"/>
      <c r="B151" s="93" t="s">
        <v>95</v>
      </c>
      <c r="C151" s="94"/>
      <c r="D151" s="94"/>
      <c r="E151" s="94"/>
      <c r="F151" s="94"/>
      <c r="G151" s="95"/>
      <c r="H151" s="95"/>
      <c r="I151" s="95"/>
      <c r="J151" s="96" t="s">
        <v>181</v>
      </c>
      <c r="K151" s="29"/>
      <c r="L151" s="29"/>
      <c r="M151" s="29"/>
      <c r="N151" s="6"/>
    </row>
    <row r="152" spans="1:14" ht="15.75">
      <c r="A152" s="92"/>
      <c r="B152" s="93" t="s">
        <v>96</v>
      </c>
      <c r="C152" s="94"/>
      <c r="D152" s="94"/>
      <c r="E152" s="94"/>
      <c r="F152" s="94"/>
      <c r="G152" s="95"/>
      <c r="H152" s="95"/>
      <c r="I152" s="95"/>
      <c r="J152" s="96" t="s">
        <v>182</v>
      </c>
      <c r="K152" s="29"/>
      <c r="L152" s="29"/>
      <c r="M152" s="29"/>
      <c r="N152" s="6"/>
    </row>
    <row r="153" spans="1:14" ht="15.75">
      <c r="A153" s="92"/>
      <c r="B153" s="93" t="s">
        <v>97</v>
      </c>
      <c r="C153" s="94"/>
      <c r="D153" s="94"/>
      <c r="E153" s="94"/>
      <c r="F153" s="94"/>
      <c r="G153" s="95"/>
      <c r="H153" s="95"/>
      <c r="I153" s="95"/>
      <c r="J153" s="96" t="s">
        <v>183</v>
      </c>
      <c r="K153" s="29"/>
      <c r="L153" s="29"/>
      <c r="M153" s="29"/>
      <c r="N153" s="6"/>
    </row>
    <row r="154" spans="1:14" ht="15.75">
      <c r="A154" s="92"/>
      <c r="B154" s="93" t="s">
        <v>98</v>
      </c>
      <c r="C154" s="94"/>
      <c r="D154" s="94"/>
      <c r="E154" s="94"/>
      <c r="F154" s="94"/>
      <c r="G154" s="95"/>
      <c r="H154" s="95"/>
      <c r="I154" s="95"/>
      <c r="J154" s="97">
        <v>4.08</v>
      </c>
      <c r="K154" s="29"/>
      <c r="L154" s="29"/>
      <c r="M154" s="29"/>
      <c r="N154" s="6"/>
    </row>
    <row r="155" spans="1:14" ht="15.75">
      <c r="A155" s="92"/>
      <c r="B155" s="93" t="s">
        <v>99</v>
      </c>
      <c r="C155" s="94"/>
      <c r="D155" s="94"/>
      <c r="E155" s="94"/>
      <c r="F155" s="94"/>
      <c r="G155" s="95"/>
      <c r="H155" s="95"/>
      <c r="I155" s="95"/>
      <c r="J155" s="97">
        <v>0</v>
      </c>
      <c r="K155" s="29"/>
      <c r="L155" s="29"/>
      <c r="M155" s="29"/>
      <c r="N155" s="6"/>
    </row>
    <row r="156" spans="1:14" ht="15.75">
      <c r="A156" s="92"/>
      <c r="B156" s="93" t="s">
        <v>100</v>
      </c>
      <c r="C156" s="94"/>
      <c r="D156" s="94"/>
      <c r="E156" s="94"/>
      <c r="F156" s="94"/>
      <c r="G156" s="95"/>
      <c r="H156" s="95"/>
      <c r="I156" s="95"/>
      <c r="J156" s="96">
        <v>1</v>
      </c>
      <c r="K156" s="29"/>
      <c r="L156" s="29"/>
      <c r="M156" s="29"/>
      <c r="N156" s="6"/>
    </row>
    <row r="157" spans="1:14" ht="15.75">
      <c r="A157" s="92"/>
      <c r="B157" s="93" t="s">
        <v>101</v>
      </c>
      <c r="C157" s="94"/>
      <c r="D157" s="94"/>
      <c r="E157" s="94"/>
      <c r="F157" s="94"/>
      <c r="G157" s="95"/>
      <c r="H157" s="95"/>
      <c r="I157" s="95"/>
      <c r="J157" s="96">
        <v>1</v>
      </c>
      <c r="K157" s="29"/>
      <c r="L157" s="29"/>
      <c r="M157" s="29"/>
      <c r="N157" s="6"/>
    </row>
    <row r="158" spans="1:14" ht="15.75">
      <c r="A158" s="92"/>
      <c r="B158" s="93"/>
      <c r="C158" s="93"/>
      <c r="D158" s="93"/>
      <c r="E158" s="93"/>
      <c r="F158" s="93"/>
      <c r="G158" s="29"/>
      <c r="H158" s="29"/>
      <c r="I158" s="36"/>
      <c r="J158" s="98"/>
      <c r="K158" s="29"/>
      <c r="L158" s="99"/>
      <c r="M158" s="29"/>
      <c r="N158" s="6"/>
    </row>
    <row r="159" spans="1:14" ht="15.75">
      <c r="A159" s="90"/>
      <c r="B159" s="100"/>
      <c r="C159" s="100"/>
      <c r="D159" s="100"/>
      <c r="E159" s="100"/>
      <c r="F159" s="100"/>
      <c r="G159" s="9"/>
      <c r="H159" s="9"/>
      <c r="I159" s="22"/>
      <c r="J159" s="101"/>
      <c r="K159" s="9"/>
      <c r="L159" s="102"/>
      <c r="M159" s="9"/>
      <c r="N159" s="6"/>
    </row>
    <row r="160" spans="1:14" ht="16.5" thickBot="1">
      <c r="A160" s="150"/>
      <c r="B160" s="145" t="str">
        <f>+B108</f>
        <v>PPAF1 INVESTOR REPORT QUARTER ENDING FEBRUARY 2005</v>
      </c>
      <c r="C160" s="151"/>
      <c r="D160" s="151"/>
      <c r="E160" s="151"/>
      <c r="F160" s="151"/>
      <c r="G160" s="146"/>
      <c r="H160" s="146"/>
      <c r="I160" s="152"/>
      <c r="J160" s="153"/>
      <c r="K160" s="146"/>
      <c r="L160" s="154"/>
      <c r="M160" s="148"/>
      <c r="N160" s="6"/>
    </row>
    <row r="161" spans="1:14" ht="15.75">
      <c r="A161" s="103"/>
      <c r="B161" s="104" t="s">
        <v>102</v>
      </c>
      <c r="C161" s="105"/>
      <c r="D161" s="106"/>
      <c r="E161" s="105"/>
      <c r="F161" s="106"/>
      <c r="G161" s="105"/>
      <c r="H161" s="106"/>
      <c r="I161" s="105" t="s">
        <v>141</v>
      </c>
      <c r="J161" s="106" t="s">
        <v>184</v>
      </c>
      <c r="K161" s="107"/>
      <c r="L161" s="107"/>
      <c r="M161" s="5"/>
      <c r="N161" s="6"/>
    </row>
    <row r="162" spans="1:14" ht="15.75">
      <c r="A162" s="108"/>
      <c r="B162" s="93" t="s">
        <v>103</v>
      </c>
      <c r="C162" s="68"/>
      <c r="D162" s="68"/>
      <c r="E162" s="68"/>
      <c r="F162" s="29"/>
      <c r="G162" s="29"/>
      <c r="H162" s="29"/>
      <c r="I162" s="29">
        <v>0</v>
      </c>
      <c r="J162" s="67">
        <v>0</v>
      </c>
      <c r="K162" s="67"/>
      <c r="L162" s="99"/>
      <c r="M162" s="109"/>
      <c r="N162" s="6"/>
    </row>
    <row r="163" spans="1:14" ht="15.75">
      <c r="A163" s="108"/>
      <c r="B163" s="93" t="s">
        <v>104</v>
      </c>
      <c r="C163" s="68"/>
      <c r="D163" s="68"/>
      <c r="E163" s="68"/>
      <c r="F163" s="29"/>
      <c r="G163" s="29"/>
      <c r="H163" s="29"/>
      <c r="I163" s="29">
        <v>0</v>
      </c>
      <c r="J163" s="67">
        <v>0</v>
      </c>
      <c r="K163" s="67"/>
      <c r="L163" s="99"/>
      <c r="M163" s="109"/>
      <c r="N163" s="6"/>
    </row>
    <row r="164" spans="1:14" ht="15.75">
      <c r="A164" s="108"/>
      <c r="B164" s="93" t="s">
        <v>207</v>
      </c>
      <c r="C164" s="68"/>
      <c r="D164" s="68"/>
      <c r="E164" s="68"/>
      <c r="F164" s="29"/>
      <c r="G164" s="29"/>
      <c r="H164" s="29"/>
      <c r="I164" s="29">
        <v>0</v>
      </c>
      <c r="J164" s="67">
        <v>0</v>
      </c>
      <c r="K164" s="67"/>
      <c r="L164" s="99"/>
      <c r="M164" s="109"/>
      <c r="N164" s="6"/>
    </row>
    <row r="165" spans="1:14" ht="15.75">
      <c r="A165" s="108"/>
      <c r="B165" s="168" t="s">
        <v>105</v>
      </c>
      <c r="C165" s="68"/>
      <c r="D165" s="68"/>
      <c r="E165" s="68"/>
      <c r="F165" s="29"/>
      <c r="G165" s="29"/>
      <c r="H165" s="29"/>
      <c r="I165" s="29"/>
      <c r="J165" s="110">
        <v>0</v>
      </c>
      <c r="K165" s="29"/>
      <c r="L165" s="99"/>
      <c r="M165" s="109"/>
      <c r="N165" s="6"/>
    </row>
    <row r="166" spans="1:14" ht="15.75">
      <c r="A166" s="108"/>
      <c r="B166" s="168" t="s">
        <v>106</v>
      </c>
      <c r="C166" s="68"/>
      <c r="D166" s="68"/>
      <c r="E166" s="68"/>
      <c r="F166" s="29"/>
      <c r="G166" s="29"/>
      <c r="H166" s="29"/>
      <c r="I166" s="29"/>
      <c r="J166" s="67">
        <f>H67</f>
        <v>29828</v>
      </c>
      <c r="K166" s="29"/>
      <c r="L166" s="99"/>
      <c r="M166" s="109"/>
      <c r="N166" s="6"/>
    </row>
    <row r="167" spans="1:14" ht="15.75">
      <c r="A167" s="111"/>
      <c r="B167" s="168" t="s">
        <v>107</v>
      </c>
      <c r="C167" s="68"/>
      <c r="D167" s="93"/>
      <c r="E167" s="93"/>
      <c r="F167" s="93"/>
      <c r="G167" s="29"/>
      <c r="H167" s="29"/>
      <c r="I167" s="29"/>
      <c r="J167" s="112"/>
      <c r="K167" s="29"/>
      <c r="L167" s="99"/>
      <c r="M167" s="113"/>
      <c r="N167" s="6"/>
    </row>
    <row r="168" spans="1:14" ht="15.75">
      <c r="A168" s="108"/>
      <c r="B168" s="93" t="s">
        <v>108</v>
      </c>
      <c r="C168" s="68"/>
      <c r="D168" s="68"/>
      <c r="E168" s="68"/>
      <c r="F168" s="68"/>
      <c r="G168" s="29"/>
      <c r="H168" s="29"/>
      <c r="I168" s="29"/>
      <c r="J168" s="67">
        <f>+L128</f>
        <v>0</v>
      </c>
      <c r="K168" s="29"/>
      <c r="L168" s="99"/>
      <c r="M168" s="113"/>
      <c r="N168" s="6"/>
    </row>
    <row r="169" spans="1:14" ht="15.75">
      <c r="A169" s="108"/>
      <c r="B169" s="93" t="s">
        <v>109</v>
      </c>
      <c r="C169" s="68"/>
      <c r="D169" s="68"/>
      <c r="E169" s="68"/>
      <c r="F169" s="68"/>
      <c r="G169" s="29"/>
      <c r="H169" s="29"/>
      <c r="I169" s="29"/>
      <c r="J169" s="67">
        <f>+J168+'Nov 04'!J157</f>
        <v>23292</v>
      </c>
      <c r="K169" s="29"/>
      <c r="L169" s="99"/>
      <c r="M169" s="113"/>
      <c r="N169" s="6"/>
    </row>
    <row r="170" spans="1:14" ht="15.75">
      <c r="A170" s="108"/>
      <c r="B170" s="93" t="s">
        <v>110</v>
      </c>
      <c r="C170" s="68"/>
      <c r="D170" s="68"/>
      <c r="E170" s="68"/>
      <c r="F170" s="68"/>
      <c r="G170" s="29"/>
      <c r="H170" s="29"/>
      <c r="I170" s="29"/>
      <c r="J170" s="67"/>
      <c r="K170" s="29"/>
      <c r="L170" s="99"/>
      <c r="M170" s="113"/>
      <c r="N170" s="6"/>
    </row>
    <row r="171" spans="1:14" ht="15.75">
      <c r="A171" s="108"/>
      <c r="B171" s="93"/>
      <c r="C171" s="68"/>
      <c r="D171" s="68"/>
      <c r="E171" s="68"/>
      <c r="F171" s="68"/>
      <c r="G171" s="29"/>
      <c r="H171" s="29"/>
      <c r="I171" s="29"/>
      <c r="J171" s="67"/>
      <c r="K171" s="29"/>
      <c r="L171" s="99"/>
      <c r="M171" s="113"/>
      <c r="N171" s="6"/>
    </row>
    <row r="172" spans="1:14" ht="15.75">
      <c r="A172" s="111"/>
      <c r="B172" s="168" t="s">
        <v>111</v>
      </c>
      <c r="C172" s="68"/>
      <c r="D172" s="93"/>
      <c r="E172" s="93"/>
      <c r="F172" s="93"/>
      <c r="G172" s="29"/>
      <c r="H172" s="29"/>
      <c r="I172" s="29"/>
      <c r="J172" s="89"/>
      <c r="K172" s="29"/>
      <c r="L172" s="99"/>
      <c r="M172" s="113"/>
      <c r="N172" s="6"/>
    </row>
    <row r="173" spans="1:14" ht="15.75">
      <c r="A173" s="111"/>
      <c r="B173" s="93" t="s">
        <v>112</v>
      </c>
      <c r="C173" s="68"/>
      <c r="D173" s="93"/>
      <c r="E173" s="93"/>
      <c r="F173" s="93"/>
      <c r="G173" s="29"/>
      <c r="H173" s="29"/>
      <c r="I173" s="29"/>
      <c r="J173" s="89">
        <v>0</v>
      </c>
      <c r="K173" s="29"/>
      <c r="L173" s="99"/>
      <c r="M173" s="113"/>
      <c r="N173" s="6"/>
    </row>
    <row r="174" spans="1:14" ht="15.75">
      <c r="A174" s="108"/>
      <c r="B174" s="93" t="s">
        <v>113</v>
      </c>
      <c r="C174" s="68"/>
      <c r="D174" s="114"/>
      <c r="E174" s="114"/>
      <c r="F174" s="115"/>
      <c r="G174" s="29"/>
      <c r="H174" s="29"/>
      <c r="I174" s="29"/>
      <c r="J174" s="89">
        <v>0</v>
      </c>
      <c r="K174" s="29"/>
      <c r="L174" s="99"/>
      <c r="M174" s="113"/>
      <c r="N174" s="6"/>
    </row>
    <row r="175" spans="1:14" ht="15.75">
      <c r="A175" s="108"/>
      <c r="B175" s="93" t="s">
        <v>114</v>
      </c>
      <c r="C175" s="68"/>
      <c r="D175" s="114"/>
      <c r="E175" s="114"/>
      <c r="F175" s="115"/>
      <c r="G175" s="29"/>
      <c r="H175" s="29"/>
      <c r="I175" s="29"/>
      <c r="J175" s="89">
        <v>0</v>
      </c>
      <c r="K175" s="29"/>
      <c r="L175" s="99"/>
      <c r="M175" s="113"/>
      <c r="N175" s="6"/>
    </row>
    <row r="176" spans="1:14" ht="15.75">
      <c r="A176" s="108"/>
      <c r="B176" s="93" t="s">
        <v>115</v>
      </c>
      <c r="C176" s="68"/>
      <c r="D176" s="116"/>
      <c r="E176" s="114"/>
      <c r="F176" s="115"/>
      <c r="G176" s="29"/>
      <c r="H176" s="29"/>
      <c r="I176" s="29"/>
      <c r="J176" s="89">
        <v>0</v>
      </c>
      <c r="K176" s="29"/>
      <c r="L176" s="99"/>
      <c r="M176" s="113"/>
      <c r="N176" s="6"/>
    </row>
    <row r="177" spans="1:14" ht="15.75">
      <c r="A177" s="108"/>
      <c r="B177" s="93"/>
      <c r="C177" s="68"/>
      <c r="D177" s="116"/>
      <c r="E177" s="114"/>
      <c r="F177" s="115"/>
      <c r="G177" s="29"/>
      <c r="H177" s="29"/>
      <c r="I177" s="29"/>
      <c r="J177" s="89"/>
      <c r="K177" s="29"/>
      <c r="L177" s="99"/>
      <c r="M177" s="113"/>
      <c r="N177" s="6"/>
    </row>
    <row r="178" spans="1:14" ht="15.75">
      <c r="A178" s="108"/>
      <c r="B178" s="168" t="s">
        <v>116</v>
      </c>
      <c r="C178" s="68"/>
      <c r="D178" s="68"/>
      <c r="E178" s="116"/>
      <c r="F178" s="114"/>
      <c r="G178" s="115"/>
      <c r="H178" s="29"/>
      <c r="I178" s="36"/>
      <c r="J178" s="36"/>
      <c r="K178" s="117"/>
      <c r="L178" s="36"/>
      <c r="M178" s="99"/>
      <c r="N178" s="6"/>
    </row>
    <row r="179" spans="1:14" ht="15.75">
      <c r="A179" s="108"/>
      <c r="B179" s="93" t="s">
        <v>117</v>
      </c>
      <c r="C179" s="68"/>
      <c r="D179" s="68"/>
      <c r="E179" s="116"/>
      <c r="F179" s="114"/>
      <c r="G179" s="115"/>
      <c r="H179" s="29"/>
      <c r="I179" s="36"/>
      <c r="J179" s="118">
        <v>0</v>
      </c>
      <c r="K179" s="118"/>
      <c r="L179" s="36"/>
      <c r="M179" s="99"/>
      <c r="N179" s="6"/>
    </row>
    <row r="180" spans="1:14" ht="15.75">
      <c r="A180" s="108"/>
      <c r="B180" s="93" t="s">
        <v>113</v>
      </c>
      <c r="C180" s="68"/>
      <c r="D180" s="68"/>
      <c r="E180" s="116"/>
      <c r="F180" s="114"/>
      <c r="G180" s="115"/>
      <c r="H180" s="29"/>
      <c r="I180" s="36"/>
      <c r="J180" s="118">
        <v>0</v>
      </c>
      <c r="K180" s="118"/>
      <c r="L180" s="36"/>
      <c r="M180" s="99"/>
      <c r="N180" s="6"/>
    </row>
    <row r="181" spans="1:14" ht="15.75">
      <c r="A181" s="108"/>
      <c r="B181" s="93" t="s">
        <v>118</v>
      </c>
      <c r="C181" s="68"/>
      <c r="D181" s="68"/>
      <c r="E181" s="116"/>
      <c r="F181" s="114"/>
      <c r="G181" s="115"/>
      <c r="H181" s="29"/>
      <c r="I181" s="36"/>
      <c r="J181" s="118">
        <v>0</v>
      </c>
      <c r="K181" s="118"/>
      <c r="L181" s="36"/>
      <c r="M181" s="99"/>
      <c r="N181" s="6"/>
    </row>
    <row r="182" spans="1:14" ht="15.75">
      <c r="A182" s="108"/>
      <c r="B182" s="93"/>
      <c r="C182" s="68"/>
      <c r="D182" s="116"/>
      <c r="E182" s="114"/>
      <c r="F182" s="115"/>
      <c r="G182" s="29"/>
      <c r="H182" s="29"/>
      <c r="I182" s="29"/>
      <c r="J182" s="89"/>
      <c r="K182" s="29"/>
      <c r="L182" s="99"/>
      <c r="M182" s="113"/>
      <c r="N182" s="6"/>
    </row>
    <row r="183" spans="1:14" ht="15.75">
      <c r="A183" s="28"/>
      <c r="B183" s="119" t="s">
        <v>119</v>
      </c>
      <c r="C183" s="120"/>
      <c r="D183" s="121"/>
      <c r="E183" s="120"/>
      <c r="F183" s="121"/>
      <c r="G183" s="120"/>
      <c r="H183" s="121"/>
      <c r="I183" s="120"/>
      <c r="J183" s="121"/>
      <c r="K183" s="120"/>
      <c r="L183" s="122"/>
      <c r="M183" s="113"/>
      <c r="N183" s="6"/>
    </row>
    <row r="184" spans="1:14" ht="15.75">
      <c r="A184" s="28"/>
      <c r="B184" s="33"/>
      <c r="C184" s="156"/>
      <c r="D184" s="119" t="s">
        <v>151</v>
      </c>
      <c r="E184" s="120"/>
      <c r="F184" s="121"/>
      <c r="G184" s="120"/>
      <c r="H184" s="119" t="s">
        <v>39</v>
      </c>
      <c r="I184" s="120"/>
      <c r="J184" s="121"/>
      <c r="K184" s="120"/>
      <c r="L184" s="122"/>
      <c r="M184" s="113"/>
      <c r="N184" s="6"/>
    </row>
    <row r="185" spans="1:14" ht="15.75">
      <c r="A185" s="28"/>
      <c r="B185" s="156"/>
      <c r="C185" s="121" t="s">
        <v>141</v>
      </c>
      <c r="D185" s="120" t="s">
        <v>152</v>
      </c>
      <c r="E185" s="121" t="s">
        <v>157</v>
      </c>
      <c r="F185" s="120" t="s">
        <v>152</v>
      </c>
      <c r="G185" s="120"/>
      <c r="H185" s="121" t="s">
        <v>141</v>
      </c>
      <c r="I185" s="120" t="s">
        <v>152</v>
      </c>
      <c r="J185" s="121" t="s">
        <v>157</v>
      </c>
      <c r="K185" s="120" t="s">
        <v>152</v>
      </c>
      <c r="L185" s="122"/>
      <c r="M185" s="113"/>
      <c r="N185" s="6"/>
    </row>
    <row r="186" spans="1:14" ht="15.75">
      <c r="A186" s="28"/>
      <c r="B186" s="68" t="s">
        <v>120</v>
      </c>
      <c r="C186" s="123">
        <v>0</v>
      </c>
      <c r="D186" s="96">
        <v>0</v>
      </c>
      <c r="E186" s="123">
        <v>0</v>
      </c>
      <c r="F186" s="96">
        <v>0</v>
      </c>
      <c r="G186" s="120"/>
      <c r="H186" s="123">
        <v>0</v>
      </c>
      <c r="I186" s="96">
        <v>0</v>
      </c>
      <c r="J186" s="123">
        <v>0</v>
      </c>
      <c r="K186" s="96">
        <v>0</v>
      </c>
      <c r="L186" s="122"/>
      <c r="M186" s="113"/>
      <c r="N186" s="6"/>
    </row>
    <row r="187" spans="1:14" ht="15.75">
      <c r="A187" s="28"/>
      <c r="B187" s="68" t="s">
        <v>121</v>
      </c>
      <c r="C187" s="123">
        <v>0</v>
      </c>
      <c r="D187" s="96">
        <v>0</v>
      </c>
      <c r="E187" s="123">
        <v>0</v>
      </c>
      <c r="F187" s="96">
        <v>0</v>
      </c>
      <c r="G187" s="120"/>
      <c r="H187" s="123">
        <v>0</v>
      </c>
      <c r="I187" s="96">
        <v>0</v>
      </c>
      <c r="J187" s="123">
        <v>0</v>
      </c>
      <c r="K187" s="96">
        <v>0</v>
      </c>
      <c r="L187" s="122"/>
      <c r="M187" s="113"/>
      <c r="N187" s="6"/>
    </row>
    <row r="188" spans="1:14" ht="15.75">
      <c r="A188" s="28"/>
      <c r="B188" s="68" t="s">
        <v>122</v>
      </c>
      <c r="C188" s="123">
        <v>0</v>
      </c>
      <c r="D188" s="96">
        <v>0</v>
      </c>
      <c r="E188" s="123">
        <v>0</v>
      </c>
      <c r="F188" s="96">
        <v>0</v>
      </c>
      <c r="G188" s="120"/>
      <c r="H188" s="123">
        <v>0</v>
      </c>
      <c r="I188" s="96">
        <v>0</v>
      </c>
      <c r="J188" s="123">
        <v>0</v>
      </c>
      <c r="K188" s="96">
        <v>0</v>
      </c>
      <c r="L188" s="122"/>
      <c r="M188" s="113"/>
      <c r="N188" s="6"/>
    </row>
    <row r="189" spans="1:16" ht="15.75">
      <c r="A189" s="28"/>
      <c r="B189" s="68" t="s">
        <v>123</v>
      </c>
      <c r="C189" s="123">
        <v>0</v>
      </c>
      <c r="D189" s="96">
        <v>0</v>
      </c>
      <c r="E189" s="123">
        <v>0</v>
      </c>
      <c r="F189" s="96">
        <v>0</v>
      </c>
      <c r="G189" s="120"/>
      <c r="H189" s="123">
        <v>0</v>
      </c>
      <c r="I189" s="96">
        <v>0</v>
      </c>
      <c r="J189" s="123">
        <v>0</v>
      </c>
      <c r="K189" s="96">
        <v>0</v>
      </c>
      <c r="L189" s="122"/>
      <c r="M189" s="113"/>
      <c r="N189" s="6"/>
      <c r="P189" s="72"/>
    </row>
    <row r="190" spans="1:16" ht="15.75">
      <c r="A190" s="28"/>
      <c r="B190" s="68" t="s">
        <v>124</v>
      </c>
      <c r="C190" s="123">
        <v>0</v>
      </c>
      <c r="D190" s="96">
        <f>SUM(D186:D189)</f>
        <v>0</v>
      </c>
      <c r="E190" s="123">
        <v>0</v>
      </c>
      <c r="F190" s="96">
        <f>SUM(F186:F189)</f>
        <v>0</v>
      </c>
      <c r="G190" s="120"/>
      <c r="H190" s="123">
        <f>SUM(H186:H189)</f>
        <v>0</v>
      </c>
      <c r="I190" s="96">
        <f>SUM(I186:I189)</f>
        <v>0</v>
      </c>
      <c r="J190" s="123">
        <f>SUM(J186:J189)</f>
        <v>0</v>
      </c>
      <c r="K190" s="96">
        <f>SUM(K186:K189)</f>
        <v>0</v>
      </c>
      <c r="L190" s="122"/>
      <c r="M190" s="113"/>
      <c r="N190" s="6"/>
      <c r="P190" s="72"/>
    </row>
    <row r="191" spans="1:15" ht="15.75">
      <c r="A191" s="28"/>
      <c r="B191" s="68" t="s">
        <v>125</v>
      </c>
      <c r="C191" s="123">
        <v>0</v>
      </c>
      <c r="D191" s="124"/>
      <c r="E191" s="123">
        <v>0</v>
      </c>
      <c r="F191" s="124"/>
      <c r="G191" s="120"/>
      <c r="H191" s="123">
        <v>0</v>
      </c>
      <c r="I191" s="124"/>
      <c r="J191" s="123">
        <v>0</v>
      </c>
      <c r="K191" s="124"/>
      <c r="L191" s="122"/>
      <c r="M191" s="113"/>
      <c r="N191" s="6"/>
      <c r="O191" s="72"/>
    </row>
    <row r="192" spans="1:16" ht="15.75">
      <c r="A192" s="28"/>
      <c r="B192" s="68" t="s">
        <v>126</v>
      </c>
      <c r="C192" s="123">
        <f>SUM(C190:C191)</f>
        <v>0</v>
      </c>
      <c r="D192" s="156"/>
      <c r="E192" s="123">
        <f>E191+E190</f>
        <v>0</v>
      </c>
      <c r="F192" s="127"/>
      <c r="G192" s="156"/>
      <c r="H192" s="123">
        <f>SUM(H190:H191)</f>
        <v>0</v>
      </c>
      <c r="I192" s="156"/>
      <c r="J192" s="123">
        <f>J191+J190</f>
        <v>0</v>
      </c>
      <c r="K192" s="156"/>
      <c r="L192" s="156"/>
      <c r="M192" s="113"/>
      <c r="N192" s="6"/>
      <c r="P192" s="72"/>
    </row>
    <row r="193" spans="1:16" ht="15.75">
      <c r="A193" s="28"/>
      <c r="B193" s="68"/>
      <c r="C193" s="123"/>
      <c r="D193" s="127"/>
      <c r="E193" s="123"/>
      <c r="F193" s="127"/>
      <c r="G193" s="120"/>
      <c r="H193" s="123"/>
      <c r="I193" s="127"/>
      <c r="J193" s="123"/>
      <c r="K193" s="127"/>
      <c r="L193" s="122"/>
      <c r="M193" s="113"/>
      <c r="N193" s="6"/>
      <c r="P193" s="72"/>
    </row>
    <row r="194" spans="1:15" ht="15.75">
      <c r="A194" s="28"/>
      <c r="B194" s="68"/>
      <c r="C194" s="120"/>
      <c r="D194" s="119" t="s">
        <v>40</v>
      </c>
      <c r="E194" s="120"/>
      <c r="F194" s="121"/>
      <c r="G194" s="120"/>
      <c r="H194" s="119" t="s">
        <v>41</v>
      </c>
      <c r="I194" s="120"/>
      <c r="J194" s="121"/>
      <c r="K194" s="120"/>
      <c r="L194" s="122"/>
      <c r="M194" s="113"/>
      <c r="N194" s="6"/>
      <c r="O194" s="72"/>
    </row>
    <row r="195" spans="1:14" ht="15.75">
      <c r="A195" s="28"/>
      <c r="B195" s="156"/>
      <c r="C195" s="121" t="s">
        <v>141</v>
      </c>
      <c r="D195" s="120" t="s">
        <v>152</v>
      </c>
      <c r="E195" s="121" t="s">
        <v>157</v>
      </c>
      <c r="F195" s="120" t="s">
        <v>152</v>
      </c>
      <c r="G195" s="120"/>
      <c r="H195" s="121" t="s">
        <v>141</v>
      </c>
      <c r="I195" s="120" t="s">
        <v>152</v>
      </c>
      <c r="J195" s="121" t="s">
        <v>157</v>
      </c>
      <c r="K195" s="120" t="s">
        <v>152</v>
      </c>
      <c r="L195" s="122"/>
      <c r="M195" s="113"/>
      <c r="N195" s="6"/>
    </row>
    <row r="196" spans="1:15" ht="15.75">
      <c r="A196" s="28"/>
      <c r="B196" s="68" t="s">
        <v>120</v>
      </c>
      <c r="C196" s="123">
        <v>0</v>
      </c>
      <c r="D196" s="96">
        <v>0</v>
      </c>
      <c r="E196" s="123">
        <v>0</v>
      </c>
      <c r="F196" s="96">
        <v>0</v>
      </c>
      <c r="G196" s="120"/>
      <c r="H196" s="123">
        <v>0</v>
      </c>
      <c r="I196" s="96">
        <v>0</v>
      </c>
      <c r="J196" s="123">
        <v>0</v>
      </c>
      <c r="K196" s="96">
        <v>0</v>
      </c>
      <c r="L196" s="122"/>
      <c r="M196" s="113"/>
      <c r="N196" s="6"/>
      <c r="O196" s="72"/>
    </row>
    <row r="197" spans="1:14" ht="15.75">
      <c r="A197" s="28"/>
      <c r="B197" s="68" t="s">
        <v>121</v>
      </c>
      <c r="C197" s="123">
        <v>0</v>
      </c>
      <c r="D197" s="96">
        <v>0</v>
      </c>
      <c r="E197" s="123">
        <v>0</v>
      </c>
      <c r="F197" s="96">
        <v>0</v>
      </c>
      <c r="G197" s="120"/>
      <c r="H197" s="123">
        <v>0</v>
      </c>
      <c r="I197" s="96">
        <v>0</v>
      </c>
      <c r="J197" s="123">
        <v>0</v>
      </c>
      <c r="K197" s="96">
        <v>0</v>
      </c>
      <c r="L197" s="122"/>
      <c r="M197" s="113"/>
      <c r="N197" s="6"/>
    </row>
    <row r="198" spans="1:14" ht="15.75">
      <c r="A198" s="28"/>
      <c r="B198" s="68" t="s">
        <v>122</v>
      </c>
      <c r="C198" s="123">
        <v>0</v>
      </c>
      <c r="D198" s="96">
        <v>0</v>
      </c>
      <c r="E198" s="123">
        <v>0</v>
      </c>
      <c r="F198" s="96">
        <v>0</v>
      </c>
      <c r="G198" s="120"/>
      <c r="H198" s="123">
        <v>0</v>
      </c>
      <c r="I198" s="96">
        <v>0</v>
      </c>
      <c r="J198" s="123">
        <v>0</v>
      </c>
      <c r="K198" s="96">
        <v>0</v>
      </c>
      <c r="L198" s="122"/>
      <c r="M198" s="113"/>
      <c r="N198" s="6"/>
    </row>
    <row r="199" spans="1:14" ht="15.75">
      <c r="A199" s="28"/>
      <c r="B199" s="68" t="s">
        <v>123</v>
      </c>
      <c r="C199" s="123">
        <v>0</v>
      </c>
      <c r="D199" s="96">
        <v>0</v>
      </c>
      <c r="E199" s="123">
        <v>0</v>
      </c>
      <c r="F199" s="96">
        <v>0</v>
      </c>
      <c r="G199" s="120"/>
      <c r="H199" s="123">
        <v>0</v>
      </c>
      <c r="I199" s="96">
        <v>0</v>
      </c>
      <c r="J199" s="123">
        <v>0</v>
      </c>
      <c r="K199" s="96">
        <v>0</v>
      </c>
      <c r="L199" s="122"/>
      <c r="M199" s="113"/>
      <c r="N199" s="6"/>
    </row>
    <row r="200" spans="1:14" ht="15.75">
      <c r="A200" s="28"/>
      <c r="B200" s="68" t="str">
        <f>B190</f>
        <v>Total Performing  Assets</v>
      </c>
      <c r="C200" s="123">
        <f>SUM(C196:C199)</f>
        <v>0</v>
      </c>
      <c r="D200" s="96">
        <f>SUM(D196:D199)</f>
        <v>0</v>
      </c>
      <c r="E200" s="123">
        <f>SUM(E196:E199)</f>
        <v>0</v>
      </c>
      <c r="F200" s="96">
        <f>SUM(F196:F199)</f>
        <v>0</v>
      </c>
      <c r="G200" s="120"/>
      <c r="H200" s="123">
        <f>SUM(H196:H199)</f>
        <v>0</v>
      </c>
      <c r="I200" s="96">
        <f>SUM(I196:I199)</f>
        <v>0</v>
      </c>
      <c r="J200" s="123">
        <f>SUM(J196:J199)</f>
        <v>0</v>
      </c>
      <c r="K200" s="96">
        <f>SUM(K196:K199)</f>
        <v>0</v>
      </c>
      <c r="L200" s="122"/>
      <c r="M200" s="113"/>
      <c r="N200" s="6"/>
    </row>
    <row r="201" spans="1:14" ht="15.75">
      <c r="A201" s="28"/>
      <c r="B201" s="68" t="s">
        <v>125</v>
      </c>
      <c r="C201" s="123">
        <v>0</v>
      </c>
      <c r="D201" s="126"/>
      <c r="E201" s="123">
        <v>0</v>
      </c>
      <c r="F201" s="124"/>
      <c r="G201" s="120"/>
      <c r="H201" s="123">
        <v>0</v>
      </c>
      <c r="I201" s="126"/>
      <c r="J201" s="123">
        <v>0</v>
      </c>
      <c r="K201" s="126"/>
      <c r="L201" s="122"/>
      <c r="M201" s="113"/>
      <c r="N201" s="6"/>
    </row>
    <row r="202" spans="1:15" ht="15.75">
      <c r="A202" s="28"/>
      <c r="B202" s="68" t="s">
        <v>126</v>
      </c>
      <c r="C202" s="123">
        <f>SUM(C200:C201)</f>
        <v>0</v>
      </c>
      <c r="D202" s="156"/>
      <c r="E202" s="123">
        <f>E201+E200</f>
        <v>0</v>
      </c>
      <c r="F202" s="127"/>
      <c r="G202" s="156"/>
      <c r="H202" s="123">
        <f>SUM(H200:H201)</f>
        <v>0</v>
      </c>
      <c r="I202" s="156"/>
      <c r="J202" s="123">
        <f>J201+J200</f>
        <v>0</v>
      </c>
      <c r="K202" s="156"/>
      <c r="L202" s="156"/>
      <c r="M202" s="156"/>
      <c r="N202" s="6"/>
      <c r="O202" s="72"/>
    </row>
    <row r="203" spans="1:14" ht="15.75">
      <c r="A203" s="28"/>
      <c r="B203" s="68"/>
      <c r="C203" s="120"/>
      <c r="D203" s="121"/>
      <c r="E203" s="120"/>
      <c r="F203" s="121"/>
      <c r="G203" s="120"/>
      <c r="H203" s="128"/>
      <c r="I203" s="120"/>
      <c r="J203" s="123"/>
      <c r="K203" s="120"/>
      <c r="L203" s="122"/>
      <c r="M203" s="113"/>
      <c r="N203" s="6"/>
    </row>
    <row r="204" spans="1:14" ht="15.75">
      <c r="A204" s="28"/>
      <c r="B204" s="68" t="s">
        <v>126</v>
      </c>
      <c r="C204" s="120"/>
      <c r="D204" s="121"/>
      <c r="E204" s="120"/>
      <c r="F204" s="121"/>
      <c r="G204" s="120"/>
      <c r="H204" s="128"/>
      <c r="I204" s="126"/>
      <c r="J204" s="123">
        <f>E192+J192+E202+J202</f>
        <v>0</v>
      </c>
      <c r="K204" s="127"/>
      <c r="L204" s="122"/>
      <c r="M204" s="113"/>
      <c r="N204" s="6"/>
    </row>
    <row r="205" spans="1:14" ht="15.75">
      <c r="A205" s="28"/>
      <c r="B205" s="68"/>
      <c r="C205" s="121"/>
      <c r="D205" s="121"/>
      <c r="E205" s="120"/>
      <c r="F205" s="121"/>
      <c r="G205" s="120"/>
      <c r="H205" s="121"/>
      <c r="I205" s="120"/>
      <c r="J205" s="123"/>
      <c r="K205" s="126"/>
      <c r="L205" s="122"/>
      <c r="M205" s="113"/>
      <c r="N205" s="6"/>
    </row>
    <row r="206" spans="1:14" ht="15.75">
      <c r="A206" s="28"/>
      <c r="B206" s="129" t="s">
        <v>127</v>
      </c>
      <c r="C206" s="120"/>
      <c r="D206" s="121"/>
      <c r="E206" s="120"/>
      <c r="F206" s="121"/>
      <c r="G206" s="120"/>
      <c r="H206" s="121"/>
      <c r="I206" s="120"/>
      <c r="J206" s="123"/>
      <c r="K206" s="120"/>
      <c r="L206" s="122"/>
      <c r="M206" s="113"/>
      <c r="N206" s="6"/>
    </row>
    <row r="207" spans="1:14" ht="15.75">
      <c r="A207" s="28"/>
      <c r="B207" s="68"/>
      <c r="C207" s="120"/>
      <c r="D207" s="121"/>
      <c r="E207" s="120"/>
      <c r="F207" s="121"/>
      <c r="G207" s="120"/>
      <c r="H207" s="121"/>
      <c r="I207" s="120"/>
      <c r="J207" s="123"/>
      <c r="K207" s="120"/>
      <c r="L207" s="122"/>
      <c r="M207" s="113"/>
      <c r="N207" s="6"/>
    </row>
    <row r="208" spans="1:14" ht="15.75">
      <c r="A208" s="28"/>
      <c r="B208" s="68" t="s">
        <v>128</v>
      </c>
      <c r="C208" s="120"/>
      <c r="D208" s="121"/>
      <c r="E208" s="120"/>
      <c r="F208" s="121"/>
      <c r="G208" s="120"/>
      <c r="H208" s="121"/>
      <c r="I208" s="120"/>
      <c r="J208" s="123">
        <v>0</v>
      </c>
      <c r="K208" s="120"/>
      <c r="L208" s="122"/>
      <c r="M208" s="113"/>
      <c r="N208" s="6"/>
    </row>
    <row r="209" spans="1:14" ht="15.75">
      <c r="A209" s="28"/>
      <c r="B209" s="68" t="s">
        <v>129</v>
      </c>
      <c r="C209" s="120"/>
      <c r="D209" s="121"/>
      <c r="E209" s="120"/>
      <c r="F209" s="121"/>
      <c r="G209" s="120"/>
      <c r="H209" s="121"/>
      <c r="I209" s="120"/>
      <c r="J209" s="123">
        <f>L95</f>
        <v>0</v>
      </c>
      <c r="K209" s="120"/>
      <c r="L209" s="122"/>
      <c r="M209" s="113"/>
      <c r="N209" s="6"/>
    </row>
    <row r="210" spans="1:14" ht="15.75">
      <c r="A210" s="28"/>
      <c r="B210" s="68" t="s">
        <v>130</v>
      </c>
      <c r="C210" s="120"/>
      <c r="D210" s="121"/>
      <c r="E210" s="120"/>
      <c r="F210" s="121"/>
      <c r="G210" s="120"/>
      <c r="H210" s="121"/>
      <c r="I210" s="120"/>
      <c r="J210" s="123">
        <v>0</v>
      </c>
      <c r="K210" s="120"/>
      <c r="L210" s="122"/>
      <c r="M210" s="113"/>
      <c r="N210" s="6"/>
    </row>
    <row r="211" spans="1:14" ht="15.75">
      <c r="A211" s="28"/>
      <c r="B211" s="68" t="s">
        <v>131</v>
      </c>
      <c r="C211" s="120"/>
      <c r="D211" s="121"/>
      <c r="E211" s="120"/>
      <c r="F211" s="121"/>
      <c r="G211" s="120"/>
      <c r="H211" s="121"/>
      <c r="I211" s="120"/>
      <c r="J211" s="123">
        <v>0</v>
      </c>
      <c r="K211" s="120"/>
      <c r="L211" s="122"/>
      <c r="M211" s="113"/>
      <c r="N211" s="6"/>
    </row>
    <row r="212" spans="1:14" ht="15.75">
      <c r="A212" s="28"/>
      <c r="B212" s="68"/>
      <c r="C212" s="120"/>
      <c r="D212" s="121"/>
      <c r="E212" s="120"/>
      <c r="F212" s="121"/>
      <c r="G212" s="120"/>
      <c r="H212" s="121"/>
      <c r="I212" s="120"/>
      <c r="J212" s="123"/>
      <c r="K212" s="120"/>
      <c r="L212" s="122"/>
      <c r="M212" s="113"/>
      <c r="N212" s="6"/>
    </row>
    <row r="213" spans="1:14" ht="15.75">
      <c r="A213" s="28"/>
      <c r="B213" s="68" t="s">
        <v>132</v>
      </c>
      <c r="C213" s="120"/>
      <c r="D213" s="121"/>
      <c r="E213" s="120"/>
      <c r="F213" s="121"/>
      <c r="G213" s="120"/>
      <c r="H213" s="121"/>
      <c r="I213" s="120"/>
      <c r="J213" s="123">
        <f>L30</f>
        <v>0</v>
      </c>
      <c r="K213" s="120"/>
      <c r="L213" s="122"/>
      <c r="M213" s="113"/>
      <c r="N213" s="6"/>
    </row>
    <row r="214" spans="1:14" ht="15.75">
      <c r="A214" s="28"/>
      <c r="B214" s="68"/>
      <c r="C214" s="120"/>
      <c r="D214" s="121"/>
      <c r="E214" s="120"/>
      <c r="F214" s="121"/>
      <c r="G214" s="120"/>
      <c r="H214" s="121"/>
      <c r="I214" s="120"/>
      <c r="J214" s="123"/>
      <c r="K214" s="120"/>
      <c r="L214" s="122"/>
      <c r="M214" s="113"/>
      <c r="N214" s="6"/>
    </row>
    <row r="215" spans="1:14" ht="15.75">
      <c r="A215" s="28"/>
      <c r="B215" s="68" t="s">
        <v>133</v>
      </c>
      <c r="C215" s="120"/>
      <c r="D215" s="121"/>
      <c r="E215" s="120"/>
      <c r="F215" s="121"/>
      <c r="G215" s="120"/>
      <c r="H215" s="121"/>
      <c r="I215" s="120"/>
      <c r="J215" s="123">
        <v>0</v>
      </c>
      <c r="K215" s="120"/>
      <c r="L215" s="122"/>
      <c r="M215" s="113"/>
      <c r="N215" s="6"/>
    </row>
    <row r="216" spans="1:14" ht="15.75">
      <c r="A216" s="28"/>
      <c r="B216" s="29"/>
      <c r="C216" s="29"/>
      <c r="D216" s="36"/>
      <c r="E216" s="29"/>
      <c r="F216" s="29"/>
      <c r="G216" s="29"/>
      <c r="H216" s="66"/>
      <c r="I216" s="130"/>
      <c r="J216" s="67"/>
      <c r="K216" s="130"/>
      <c r="L216" s="99"/>
      <c r="M216" s="29"/>
      <c r="N216" s="6"/>
    </row>
    <row r="217" spans="1:14" ht="15.75">
      <c r="A217" s="131"/>
      <c r="B217" s="33" t="s">
        <v>134</v>
      </c>
      <c r="C217" s="132"/>
      <c r="D217" s="120" t="s">
        <v>153</v>
      </c>
      <c r="E217" s="122"/>
      <c r="F217" s="33" t="s">
        <v>166</v>
      </c>
      <c r="G217" s="133"/>
      <c r="H217" s="133"/>
      <c r="I217" s="133"/>
      <c r="J217" s="134"/>
      <c r="K217" s="32"/>
      <c r="L217" s="32"/>
      <c r="M217" s="32"/>
      <c r="N217" s="6"/>
    </row>
    <row r="218" spans="1:14" ht="15.75">
      <c r="A218" s="135"/>
      <c r="B218" s="15" t="s">
        <v>135</v>
      </c>
      <c r="C218" s="136"/>
      <c r="D218" s="137" t="s">
        <v>154</v>
      </c>
      <c r="E218" s="15"/>
      <c r="F218" s="15" t="s">
        <v>208</v>
      </c>
      <c r="G218" s="136"/>
      <c r="H218" s="136"/>
      <c r="I218" s="14"/>
      <c r="J218" s="14"/>
      <c r="K218" s="14"/>
      <c r="L218" s="14"/>
      <c r="M218" s="14"/>
      <c r="N218" s="6"/>
    </row>
    <row r="219" spans="1:14" ht="15.75">
      <c r="A219" s="135"/>
      <c r="B219" s="15" t="s">
        <v>136</v>
      </c>
      <c r="C219" s="136"/>
      <c r="D219" s="137" t="s">
        <v>155</v>
      </c>
      <c r="E219" s="15"/>
      <c r="F219" s="15" t="s">
        <v>209</v>
      </c>
      <c r="G219" s="136"/>
      <c r="H219" s="136"/>
      <c r="I219" s="14"/>
      <c r="J219" s="14"/>
      <c r="K219" s="14"/>
      <c r="L219" s="14"/>
      <c r="M219" s="14"/>
      <c r="N219" s="6"/>
    </row>
    <row r="220" spans="1:14" ht="15.75">
      <c r="A220" s="135"/>
      <c r="B220" s="15"/>
      <c r="C220" s="136"/>
      <c r="D220" s="137"/>
      <c r="E220" s="15"/>
      <c r="F220" s="15"/>
      <c r="G220" s="136"/>
      <c r="H220" s="136"/>
      <c r="I220" s="14"/>
      <c r="J220" s="14"/>
      <c r="K220" s="14"/>
      <c r="L220" s="14"/>
      <c r="M220" s="14"/>
      <c r="N220" s="6"/>
    </row>
    <row r="221" spans="1:14" ht="15.75">
      <c r="A221" s="135"/>
      <c r="B221" s="15"/>
      <c r="C221" s="136"/>
      <c r="D221" s="137"/>
      <c r="E221" s="15"/>
      <c r="F221" s="15"/>
      <c r="G221" s="136"/>
      <c r="H221" s="136"/>
      <c r="I221" s="14"/>
      <c r="J221" s="14"/>
      <c r="K221" s="14"/>
      <c r="L221" s="14"/>
      <c r="M221" s="14"/>
      <c r="N221" s="6"/>
    </row>
    <row r="222" spans="1:14" ht="15.75">
      <c r="A222" s="135"/>
      <c r="B222" s="15" t="str">
        <f>+B160</f>
        <v>PPAF1 INVESTOR REPORT QUARTER ENDING FEBRUARY 2005</v>
      </c>
      <c r="C222" s="136"/>
      <c r="D222" s="137"/>
      <c r="E222" s="15"/>
      <c r="F222" s="15"/>
      <c r="G222" s="136"/>
      <c r="H222" s="136"/>
      <c r="I222" s="14"/>
      <c r="J222" s="14"/>
      <c r="K222" s="14"/>
      <c r="L222" s="14"/>
      <c r="M222" s="14"/>
      <c r="N222" s="6"/>
    </row>
    <row r="223" spans="1:13" ht="15">
      <c r="A223" s="138"/>
      <c r="B223" s="138"/>
      <c r="C223" s="138"/>
      <c r="D223" s="138"/>
      <c r="E223" s="138"/>
      <c r="F223" s="138"/>
      <c r="G223" s="138"/>
      <c r="H223" s="138"/>
      <c r="I223" s="138"/>
      <c r="J223" s="138"/>
      <c r="K223" s="138"/>
      <c r="L223" s="138"/>
      <c r="M223" s="138"/>
    </row>
  </sheetData>
  <printOptions horizontalCentered="1" verticalCentered="1"/>
  <pageMargins left="0.2362204724409449" right="0.4330708661417323" top="0.2362204724409449" bottom="0.7480314960629921" header="0" footer="0"/>
  <pageSetup horizontalDpi="600" verticalDpi="600" orientation="landscape" paperSize="9" scale="50" r:id="rId2"/>
  <rowBreaks count="4" manualBreakCount="4">
    <brk id="50" max="13" man="1"/>
    <brk id="108" max="13" man="1"/>
    <brk id="160" max="13" man="1"/>
    <brk id="223" max="0" man="1"/>
  </rowBreaks>
  <drawing r:id="rId1"/>
</worksheet>
</file>

<file path=xl/worksheets/sheet2.xml><?xml version="1.0" encoding="utf-8"?>
<worksheet xmlns="http://schemas.openxmlformats.org/spreadsheetml/2006/main" xmlns:r="http://schemas.openxmlformats.org/officeDocument/2006/relationships">
  <dimension ref="A1:O210"/>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1.6640625" style="1" customWidth="1"/>
    <col min="3" max="3" width="12.6640625" style="1" customWidth="1"/>
    <col min="4" max="4" width="14.6640625" style="1" customWidth="1"/>
    <col min="5" max="5" width="11.6640625" style="1" customWidth="1"/>
    <col min="6" max="6" width="14.6640625" style="1" customWidth="1"/>
    <col min="7" max="7" width="7.6640625" style="1" customWidth="1"/>
    <col min="8" max="8" width="13.6640625" style="1" customWidth="1"/>
    <col min="9" max="9" width="7.5546875" style="1" customWidth="1"/>
    <col min="10" max="10" width="13.6640625" style="1" customWidth="1"/>
    <col min="11" max="11" width="8.10546875" style="1" customWidth="1"/>
    <col min="12" max="12" width="15.6640625" style="1" customWidth="1"/>
    <col min="13" max="13" width="13.2148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8"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2" t="s">
        <v>2</v>
      </c>
      <c r="C5" s="13"/>
      <c r="D5" s="9"/>
      <c r="E5" s="9"/>
      <c r="F5" s="9"/>
      <c r="G5" s="9"/>
      <c r="H5" s="9"/>
      <c r="I5" s="9"/>
      <c r="J5" s="9"/>
      <c r="K5" s="9"/>
      <c r="L5" s="9"/>
      <c r="M5" s="9"/>
      <c r="N5" s="6"/>
    </row>
    <row r="6" spans="1:14" ht="15.75">
      <c r="A6" s="7"/>
      <c r="B6" s="12" t="s">
        <v>3</v>
      </c>
      <c r="C6" s="13"/>
      <c r="D6" s="9"/>
      <c r="E6" s="9"/>
      <c r="F6" s="9"/>
      <c r="G6" s="9"/>
      <c r="H6" s="9"/>
      <c r="I6" s="9"/>
      <c r="J6" s="9"/>
      <c r="K6" s="9"/>
      <c r="L6" s="9"/>
      <c r="M6" s="9"/>
      <c r="N6" s="6"/>
    </row>
    <row r="7" spans="1:14" ht="15.75">
      <c r="A7" s="7"/>
      <c r="B7" s="12" t="s">
        <v>4</v>
      </c>
      <c r="C7" s="13"/>
      <c r="D7" s="9"/>
      <c r="E7" s="9"/>
      <c r="F7" s="9"/>
      <c r="G7" s="9"/>
      <c r="H7" s="9"/>
      <c r="I7" s="9"/>
      <c r="J7" s="9"/>
      <c r="K7" s="9"/>
      <c r="L7" s="9"/>
      <c r="M7" s="9"/>
      <c r="N7" s="6"/>
    </row>
    <row r="8" spans="1:14" ht="15.75">
      <c r="A8" s="7"/>
      <c r="B8" s="14"/>
      <c r="C8" s="13"/>
      <c r="D8" s="9"/>
      <c r="E8" s="9"/>
      <c r="F8" s="9"/>
      <c r="G8" s="9"/>
      <c r="H8" s="9"/>
      <c r="I8" s="9"/>
      <c r="J8" s="9"/>
      <c r="K8" s="9"/>
      <c r="L8" s="9"/>
      <c r="M8" s="9"/>
      <c r="N8" s="6"/>
    </row>
    <row r="9" spans="1:14" ht="15.75">
      <c r="A9" s="7"/>
      <c r="B9" s="13"/>
      <c r="C9" s="13"/>
      <c r="D9" s="15"/>
      <c r="E9" s="15"/>
      <c r="F9" s="9"/>
      <c r="G9" s="9"/>
      <c r="H9" s="9"/>
      <c r="I9" s="9"/>
      <c r="J9" s="9"/>
      <c r="K9" s="9"/>
      <c r="L9" s="9"/>
      <c r="M9" s="9"/>
      <c r="N9" s="6"/>
    </row>
    <row r="10" spans="1:14" ht="15.75">
      <c r="A10" s="7"/>
      <c r="B10" s="15" t="s">
        <v>5</v>
      </c>
      <c r="C10" s="15"/>
      <c r="D10" s="9"/>
      <c r="E10" s="9"/>
      <c r="F10" s="9"/>
      <c r="G10" s="9"/>
      <c r="H10" s="9"/>
      <c r="I10" s="9"/>
      <c r="J10" s="9"/>
      <c r="K10" s="9"/>
      <c r="L10" s="9"/>
      <c r="M10" s="9"/>
      <c r="N10" s="6"/>
    </row>
    <row r="11" spans="1:14" ht="15.75">
      <c r="A11" s="7"/>
      <c r="B11" s="15"/>
      <c r="C11" s="15"/>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6" t="s">
        <v>6</v>
      </c>
      <c r="C13" s="16"/>
      <c r="D13" s="17"/>
      <c r="E13" s="17"/>
      <c r="F13" s="17"/>
      <c r="G13" s="17"/>
      <c r="H13" s="17"/>
      <c r="I13" s="17"/>
      <c r="J13" s="17"/>
      <c r="K13" s="17"/>
      <c r="L13" s="18" t="s">
        <v>186</v>
      </c>
      <c r="M13" s="9"/>
      <c r="N13" s="6"/>
    </row>
    <row r="14" spans="1:14" ht="15.75">
      <c r="A14" s="7"/>
      <c r="B14" s="16" t="s">
        <v>7</v>
      </c>
      <c r="C14" s="16"/>
      <c r="D14" s="19" t="s">
        <v>140</v>
      </c>
      <c r="E14" s="20">
        <v>0.348</v>
      </c>
      <c r="F14" s="19" t="s">
        <v>150</v>
      </c>
      <c r="G14" s="20">
        <v>0.229</v>
      </c>
      <c r="H14" s="19" t="s">
        <v>156</v>
      </c>
      <c r="I14" s="20">
        <v>0.098</v>
      </c>
      <c r="J14" s="19" t="s">
        <v>165</v>
      </c>
      <c r="K14" s="20">
        <v>0.1</v>
      </c>
      <c r="L14" s="18"/>
      <c r="M14" s="17"/>
      <c r="N14" s="6"/>
    </row>
    <row r="15" spans="1:14" ht="15.75">
      <c r="A15" s="7"/>
      <c r="B15" s="16" t="s">
        <v>8</v>
      </c>
      <c r="C15" s="16"/>
      <c r="D15" s="19" t="s">
        <v>140</v>
      </c>
      <c r="E15" s="20">
        <f>E177/($J$195+$L$93)</f>
        <v>0.25815601153531204</v>
      </c>
      <c r="F15" s="19" t="s">
        <v>150</v>
      </c>
      <c r="G15" s="20">
        <f>J177/($J$195+$L$93)</f>
        <v>0.19023770812812266</v>
      </c>
      <c r="H15" s="19" t="s">
        <v>156</v>
      </c>
      <c r="I15" s="20">
        <f>E187/($J$195+$L$93)</f>
        <v>0.23338831990316034</v>
      </c>
      <c r="J15" s="19" t="s">
        <v>165</v>
      </c>
      <c r="K15" s="20">
        <f>J187/($J$195+$L$93)</f>
        <v>0.15011333562773696</v>
      </c>
      <c r="L15" s="18"/>
      <c r="M15" s="17"/>
      <c r="N15" s="6"/>
    </row>
    <row r="16" spans="1:14" ht="15.75">
      <c r="A16" s="7"/>
      <c r="B16" s="16" t="s">
        <v>9</v>
      </c>
      <c r="C16" s="16"/>
      <c r="D16" s="17"/>
      <c r="E16" s="17"/>
      <c r="F16" s="17"/>
      <c r="G16" s="17"/>
      <c r="H16" s="17"/>
      <c r="I16" s="17"/>
      <c r="J16" s="17"/>
      <c r="K16" s="17"/>
      <c r="L16" s="178">
        <v>37070</v>
      </c>
      <c r="M16" s="9"/>
      <c r="N16" s="6"/>
    </row>
    <row r="17" spans="1:14" ht="15.75">
      <c r="A17" s="7"/>
      <c r="B17" s="16" t="s">
        <v>10</v>
      </c>
      <c r="C17" s="16"/>
      <c r="D17" s="17"/>
      <c r="E17" s="17"/>
      <c r="F17" s="17"/>
      <c r="G17" s="17"/>
      <c r="H17" s="17"/>
      <c r="I17" s="17"/>
      <c r="J17" s="17"/>
      <c r="K17" s="17"/>
      <c r="L17" s="21">
        <v>37256</v>
      </c>
      <c r="M17" s="9"/>
      <c r="N17" s="6"/>
    </row>
    <row r="18" spans="1:14" ht="15.75">
      <c r="A18" s="7"/>
      <c r="B18" s="9"/>
      <c r="C18" s="9"/>
      <c r="D18" s="9"/>
      <c r="E18" s="9"/>
      <c r="F18" s="9"/>
      <c r="G18" s="9"/>
      <c r="H18" s="9"/>
      <c r="I18" s="9"/>
      <c r="J18" s="9"/>
      <c r="K18" s="9"/>
      <c r="L18" s="22"/>
      <c r="M18" s="9"/>
      <c r="N18" s="6"/>
    </row>
    <row r="19" spans="1:14" ht="15.75">
      <c r="A19" s="7"/>
      <c r="B19" s="23" t="s">
        <v>11</v>
      </c>
      <c r="C19" s="9"/>
      <c r="D19" s="9"/>
      <c r="E19" s="9"/>
      <c r="F19" s="9"/>
      <c r="G19" s="9"/>
      <c r="H19" s="9"/>
      <c r="I19" s="9"/>
      <c r="J19" s="22"/>
      <c r="K19" s="9"/>
      <c r="L19" s="14"/>
      <c r="M19" s="9"/>
      <c r="N19" s="6"/>
    </row>
    <row r="20" spans="1:14" ht="15.75">
      <c r="A20" s="7"/>
      <c r="B20" s="9"/>
      <c r="C20" s="9"/>
      <c r="D20" s="9"/>
      <c r="E20" s="9"/>
      <c r="F20" s="9"/>
      <c r="G20" s="9"/>
      <c r="H20" s="9"/>
      <c r="I20" s="9"/>
      <c r="J20" s="9"/>
      <c r="K20" s="9"/>
      <c r="L20" s="24"/>
      <c r="M20" s="9"/>
      <c r="N20" s="6"/>
    </row>
    <row r="21" spans="1:14" ht="15.75">
      <c r="A21" s="7"/>
      <c r="B21" s="9"/>
      <c r="C21" s="159" t="s">
        <v>137</v>
      </c>
      <c r="D21" s="161" t="s">
        <v>142</v>
      </c>
      <c r="E21" s="161"/>
      <c r="F21" s="161" t="s">
        <v>158</v>
      </c>
      <c r="G21" s="161"/>
      <c r="H21" s="161" t="s">
        <v>169</v>
      </c>
      <c r="I21" s="161"/>
      <c r="J21" s="169"/>
      <c r="K21" s="14"/>
      <c r="L21" s="14"/>
      <c r="M21" s="9"/>
      <c r="N21" s="6"/>
    </row>
    <row r="22" spans="1:14" ht="15.75">
      <c r="A22" s="28"/>
      <c r="B22" s="29" t="s">
        <v>12</v>
      </c>
      <c r="C22" s="160" t="s">
        <v>138</v>
      </c>
      <c r="D22" s="31" t="s">
        <v>143</v>
      </c>
      <c r="E22" s="31"/>
      <c r="F22" s="31" t="s">
        <v>159</v>
      </c>
      <c r="G22" s="31"/>
      <c r="H22" s="31" t="s">
        <v>170</v>
      </c>
      <c r="I22" s="31"/>
      <c r="J22" s="31"/>
      <c r="K22" s="32"/>
      <c r="L22" s="32"/>
      <c r="M22" s="29"/>
      <c r="N22" s="6"/>
    </row>
    <row r="23" spans="1:14" ht="15.75">
      <c r="A23" s="28"/>
      <c r="B23" s="29" t="s">
        <v>13</v>
      </c>
      <c r="C23" s="30"/>
      <c r="D23" s="31" t="s">
        <v>144</v>
      </c>
      <c r="E23" s="31"/>
      <c r="F23" s="31" t="s">
        <v>160</v>
      </c>
      <c r="G23" s="31"/>
      <c r="H23" s="31" t="s">
        <v>171</v>
      </c>
      <c r="I23" s="31"/>
      <c r="J23" s="31"/>
      <c r="K23" s="32"/>
      <c r="L23" s="32"/>
      <c r="M23" s="29"/>
      <c r="N23" s="6"/>
    </row>
    <row r="24" spans="1:14" ht="15.75">
      <c r="A24" s="28"/>
      <c r="B24" s="33" t="s">
        <v>14</v>
      </c>
      <c r="C24" s="33"/>
      <c r="D24" s="34" t="s">
        <v>143</v>
      </c>
      <c r="E24" s="34"/>
      <c r="F24" s="34" t="s">
        <v>159</v>
      </c>
      <c r="G24" s="34"/>
      <c r="H24" s="34" t="s">
        <v>170</v>
      </c>
      <c r="I24" s="34"/>
      <c r="J24" s="34"/>
      <c r="K24" s="35"/>
      <c r="L24" s="32"/>
      <c r="M24" s="29"/>
      <c r="N24" s="6"/>
    </row>
    <row r="25" spans="1:14" ht="15.75">
      <c r="A25" s="28"/>
      <c r="B25" s="33" t="s">
        <v>15</v>
      </c>
      <c r="C25" s="33"/>
      <c r="D25" s="34" t="s">
        <v>144</v>
      </c>
      <c r="E25" s="34"/>
      <c r="F25" s="34" t="s">
        <v>160</v>
      </c>
      <c r="G25" s="34"/>
      <c r="H25" s="34" t="s">
        <v>171</v>
      </c>
      <c r="I25" s="34"/>
      <c r="J25" s="34"/>
      <c r="K25" s="35"/>
      <c r="L25" s="32"/>
      <c r="M25" s="29"/>
      <c r="N25" s="6"/>
    </row>
    <row r="26" spans="1:14" ht="15.75">
      <c r="A26" s="28"/>
      <c r="B26" s="29" t="s">
        <v>16</v>
      </c>
      <c r="C26" s="29"/>
      <c r="D26" s="36" t="s">
        <v>145</v>
      </c>
      <c r="E26" s="31"/>
      <c r="F26" s="36" t="s">
        <v>161</v>
      </c>
      <c r="G26" s="31"/>
      <c r="H26" s="36" t="s">
        <v>172</v>
      </c>
      <c r="I26" s="31"/>
      <c r="J26" s="36"/>
      <c r="K26" s="32"/>
      <c r="L26" s="32"/>
      <c r="M26" s="29"/>
      <c r="N26" s="6"/>
    </row>
    <row r="27" spans="1:14" ht="15.75">
      <c r="A27" s="28"/>
      <c r="B27" s="29"/>
      <c r="C27" s="29"/>
      <c r="D27" s="29"/>
      <c r="E27" s="31"/>
      <c r="F27" s="31"/>
      <c r="G27" s="31"/>
      <c r="H27" s="31"/>
      <c r="I27" s="31"/>
      <c r="J27" s="31"/>
      <c r="K27" s="32"/>
      <c r="L27" s="32"/>
      <c r="M27" s="29"/>
      <c r="N27" s="6"/>
    </row>
    <row r="28" spans="1:14" ht="15.75">
      <c r="A28" s="28"/>
      <c r="B28" s="29" t="s">
        <v>17</v>
      </c>
      <c r="C28" s="29"/>
      <c r="D28" s="37">
        <v>178210</v>
      </c>
      <c r="E28" s="38"/>
      <c r="F28" s="37">
        <v>51450</v>
      </c>
      <c r="G28" s="37"/>
      <c r="H28" s="37">
        <v>21340</v>
      </c>
      <c r="I28" s="37"/>
      <c r="J28" s="37"/>
      <c r="K28" s="39"/>
      <c r="L28" s="37">
        <f>J28+H28+F28+D28</f>
        <v>251000</v>
      </c>
      <c r="M28" s="40"/>
      <c r="N28" s="6"/>
    </row>
    <row r="29" spans="1:14" ht="15.75">
      <c r="A29" s="28"/>
      <c r="B29" s="29" t="s">
        <v>18</v>
      </c>
      <c r="C29" s="44">
        <v>1</v>
      </c>
      <c r="D29" s="37">
        <v>178210</v>
      </c>
      <c r="E29" s="38"/>
      <c r="F29" s="37">
        <v>51450</v>
      </c>
      <c r="G29" s="37"/>
      <c r="H29" s="37">
        <v>21340</v>
      </c>
      <c r="I29" s="42"/>
      <c r="J29" s="37"/>
      <c r="K29" s="39"/>
      <c r="L29" s="37">
        <f>J29+H29+F29+D29</f>
        <v>251000</v>
      </c>
      <c r="M29" s="40"/>
      <c r="N29" s="6"/>
    </row>
    <row r="30" spans="1:14" ht="15.75">
      <c r="A30" s="43"/>
      <c r="B30" s="33" t="s">
        <v>19</v>
      </c>
      <c r="C30" s="44">
        <v>1</v>
      </c>
      <c r="D30" s="45">
        <v>178210</v>
      </c>
      <c r="E30" s="46"/>
      <c r="F30" s="45">
        <v>51450</v>
      </c>
      <c r="G30" s="45"/>
      <c r="H30" s="45">
        <v>21340</v>
      </c>
      <c r="I30" s="45"/>
      <c r="J30" s="45"/>
      <c r="K30" s="47"/>
      <c r="L30" s="45">
        <f>J30+H30+F30+D30</f>
        <v>251000</v>
      </c>
      <c r="M30" s="29"/>
      <c r="N30" s="6"/>
    </row>
    <row r="31" spans="1:14" ht="15.75">
      <c r="A31" s="28"/>
      <c r="B31" s="29" t="s">
        <v>20</v>
      </c>
      <c r="C31" s="48"/>
      <c r="D31" s="36" t="s">
        <v>146</v>
      </c>
      <c r="E31" s="29"/>
      <c r="F31" s="36" t="s">
        <v>162</v>
      </c>
      <c r="G31" s="36"/>
      <c r="H31" s="36" t="s">
        <v>173</v>
      </c>
      <c r="I31" s="36"/>
      <c r="J31" s="36"/>
      <c r="K31" s="32"/>
      <c r="L31" s="32"/>
      <c r="M31" s="29"/>
      <c r="N31" s="6"/>
    </row>
    <row r="32" spans="1:14" ht="15.75">
      <c r="A32" s="28"/>
      <c r="B32" s="29" t="s">
        <v>21</v>
      </c>
      <c r="C32" s="48"/>
      <c r="D32" s="49">
        <v>0.0507031</v>
      </c>
      <c r="E32" s="50"/>
      <c r="F32" s="49">
        <v>0.0563031</v>
      </c>
      <c r="G32" s="49"/>
      <c r="H32" s="49">
        <v>0.0703031</v>
      </c>
      <c r="I32" s="51"/>
      <c r="J32" s="49"/>
      <c r="K32" s="32"/>
      <c r="L32" s="51">
        <f>SUMPRODUCT(D32:J32,D30:J30)/L30</f>
        <v>0.053517378884462154</v>
      </c>
      <c r="M32" s="29"/>
      <c r="N32" s="6"/>
    </row>
    <row r="33" spans="1:14" ht="15.75">
      <c r="A33" s="28"/>
      <c r="B33" s="29" t="s">
        <v>22</v>
      </c>
      <c r="C33" s="48"/>
      <c r="D33" s="49">
        <v>0.0554085</v>
      </c>
      <c r="E33" s="50"/>
      <c r="F33" s="49">
        <v>0.0610085</v>
      </c>
      <c r="G33" s="49"/>
      <c r="H33" s="49">
        <v>0.0750085</v>
      </c>
      <c r="I33" s="51"/>
      <c r="J33" s="49"/>
      <c r="K33" s="32"/>
      <c r="L33" s="32"/>
      <c r="M33" s="29"/>
      <c r="N33" s="6"/>
    </row>
    <row r="34" spans="1:14" ht="15.75">
      <c r="A34" s="28"/>
      <c r="B34" s="29" t="s">
        <v>23</v>
      </c>
      <c r="C34" s="48"/>
      <c r="D34" s="36" t="s">
        <v>147</v>
      </c>
      <c r="E34" s="29"/>
      <c r="F34" s="36" t="s">
        <v>147</v>
      </c>
      <c r="G34" s="36"/>
      <c r="H34" s="36" t="s">
        <v>147</v>
      </c>
      <c r="I34" s="36"/>
      <c r="J34" s="36"/>
      <c r="K34" s="32"/>
      <c r="L34" s="32"/>
      <c r="M34" s="29"/>
      <c r="N34" s="6"/>
    </row>
    <row r="35" spans="1:14" ht="15.75">
      <c r="A35" s="28"/>
      <c r="B35" s="29" t="s">
        <v>24</v>
      </c>
      <c r="C35" s="29"/>
      <c r="D35" s="52">
        <v>39248</v>
      </c>
      <c r="E35" s="29"/>
      <c r="F35" s="52">
        <v>39248</v>
      </c>
      <c r="G35" s="52"/>
      <c r="H35" s="52">
        <v>39248</v>
      </c>
      <c r="I35" s="36"/>
      <c r="J35" s="36"/>
      <c r="K35" s="32"/>
      <c r="L35" s="32"/>
      <c r="M35" s="29"/>
      <c r="N35" s="6"/>
    </row>
    <row r="36" spans="1:14" ht="15.75">
      <c r="A36" s="28"/>
      <c r="B36" s="29" t="s">
        <v>25</v>
      </c>
      <c r="C36" s="29"/>
      <c r="D36" s="36" t="s">
        <v>148</v>
      </c>
      <c r="E36" s="29"/>
      <c r="F36" s="36" t="s">
        <v>163</v>
      </c>
      <c r="G36" s="36"/>
      <c r="H36" s="36" t="s">
        <v>174</v>
      </c>
      <c r="I36" s="36"/>
      <c r="J36" s="36"/>
      <c r="K36" s="32"/>
      <c r="L36" s="32"/>
      <c r="M36" s="29"/>
      <c r="N36" s="6"/>
    </row>
    <row r="37" spans="1:14" ht="15.75">
      <c r="A37" s="28"/>
      <c r="B37" s="29"/>
      <c r="C37" s="29"/>
      <c r="D37" s="53"/>
      <c r="E37" s="53"/>
      <c r="F37" s="29"/>
      <c r="G37" s="53"/>
      <c r="H37" s="53"/>
      <c r="I37" s="53"/>
      <c r="J37" s="53"/>
      <c r="K37" s="53"/>
      <c r="L37" s="53"/>
      <c r="M37" s="29"/>
      <c r="N37" s="6"/>
    </row>
    <row r="38" spans="1:14" ht="15.75">
      <c r="A38" s="28"/>
      <c r="B38" s="29" t="s">
        <v>26</v>
      </c>
      <c r="C38" s="29"/>
      <c r="D38" s="29"/>
      <c r="E38" s="29"/>
      <c r="F38" s="29"/>
      <c r="G38" s="29"/>
      <c r="H38" s="29"/>
      <c r="I38" s="29"/>
      <c r="J38" s="29"/>
      <c r="K38" s="29"/>
      <c r="L38" s="51">
        <f>(H28+F28)/(D28)</f>
        <v>0.4084507042253521</v>
      </c>
      <c r="M38" s="29"/>
      <c r="N38" s="6"/>
    </row>
    <row r="39" spans="1:14" ht="15.75">
      <c r="A39" s="28"/>
      <c r="B39" s="29" t="s">
        <v>27</v>
      </c>
      <c r="C39" s="29"/>
      <c r="D39" s="29"/>
      <c r="E39" s="29"/>
      <c r="F39" s="29"/>
      <c r="G39" s="29"/>
      <c r="H39" s="29"/>
      <c r="I39" s="29"/>
      <c r="J39" s="29"/>
      <c r="K39" s="29"/>
      <c r="L39" s="51">
        <f>(H30+F30)/(D30)</f>
        <v>0.4084507042253521</v>
      </c>
      <c r="M39" s="29"/>
      <c r="N39" s="6"/>
    </row>
    <row r="40" spans="1:14" ht="15.75">
      <c r="A40" s="28"/>
      <c r="B40" s="29" t="s">
        <v>28</v>
      </c>
      <c r="C40" s="29"/>
      <c r="D40" s="29"/>
      <c r="E40" s="29"/>
      <c r="F40" s="29"/>
      <c r="G40" s="29"/>
      <c r="H40" s="29"/>
      <c r="I40" s="29"/>
      <c r="J40" s="36" t="s">
        <v>142</v>
      </c>
      <c r="K40" s="36" t="s">
        <v>185</v>
      </c>
      <c r="L40" s="37">
        <v>38766</v>
      </c>
      <c r="M40" s="29"/>
      <c r="N40" s="6"/>
    </row>
    <row r="41" spans="1:14" ht="15.75">
      <c r="A41" s="28"/>
      <c r="B41" s="29"/>
      <c r="C41" s="29"/>
      <c r="D41" s="29"/>
      <c r="E41" s="29"/>
      <c r="F41" s="29"/>
      <c r="G41" s="29"/>
      <c r="H41" s="29"/>
      <c r="I41" s="29"/>
      <c r="J41" s="29" t="s">
        <v>177</v>
      </c>
      <c r="K41" s="29"/>
      <c r="L41" s="54"/>
      <c r="M41" s="29"/>
      <c r="N41" s="6"/>
    </row>
    <row r="42" spans="1:14" ht="15.75">
      <c r="A42" s="28"/>
      <c r="B42" s="29" t="s">
        <v>29</v>
      </c>
      <c r="C42" s="29"/>
      <c r="D42" s="29"/>
      <c r="E42" s="29"/>
      <c r="F42" s="29"/>
      <c r="G42" s="29"/>
      <c r="H42" s="29"/>
      <c r="I42" s="29"/>
      <c r="J42" s="36"/>
      <c r="K42" s="36"/>
      <c r="L42" s="36" t="s">
        <v>187</v>
      </c>
      <c r="M42" s="29"/>
      <c r="N42" s="6"/>
    </row>
    <row r="43" spans="1:14" ht="15.75">
      <c r="A43" s="43"/>
      <c r="B43" s="33" t="s">
        <v>30</v>
      </c>
      <c r="C43" s="33"/>
      <c r="D43" s="33"/>
      <c r="E43" s="33"/>
      <c r="F43" s="33"/>
      <c r="G43" s="33"/>
      <c r="H43" s="33"/>
      <c r="I43" s="33"/>
      <c r="J43" s="55"/>
      <c r="K43" s="55"/>
      <c r="L43" s="56">
        <v>37242</v>
      </c>
      <c r="M43" s="33"/>
      <c r="N43" s="6"/>
    </row>
    <row r="44" spans="1:14" ht="15.75">
      <c r="A44" s="28"/>
      <c r="B44" s="29" t="s">
        <v>31</v>
      </c>
      <c r="C44" s="29"/>
      <c r="D44" s="29"/>
      <c r="E44" s="29"/>
      <c r="F44" s="29"/>
      <c r="G44" s="29"/>
      <c r="H44" s="32"/>
      <c r="I44" s="29">
        <f>L44-J44+1</f>
        <v>81</v>
      </c>
      <c r="J44" s="58">
        <v>37070</v>
      </c>
      <c r="K44" s="59"/>
      <c r="L44" s="58">
        <v>37150</v>
      </c>
      <c r="M44" s="29"/>
      <c r="N44" s="6"/>
    </row>
    <row r="45" spans="1:14" ht="15.75">
      <c r="A45" s="28"/>
      <c r="B45" s="29" t="s">
        <v>32</v>
      </c>
      <c r="C45" s="29"/>
      <c r="D45" s="29"/>
      <c r="E45" s="29"/>
      <c r="F45" s="29"/>
      <c r="G45" s="29"/>
      <c r="H45" s="32"/>
      <c r="I45" s="29">
        <f>L45-J45+1</f>
        <v>91</v>
      </c>
      <c r="J45" s="58">
        <v>37151</v>
      </c>
      <c r="K45" s="59"/>
      <c r="L45" s="58">
        <v>37241</v>
      </c>
      <c r="M45" s="29"/>
      <c r="N45" s="6"/>
    </row>
    <row r="46" spans="1:14" ht="15.75">
      <c r="A46" s="28"/>
      <c r="B46" s="29" t="s">
        <v>33</v>
      </c>
      <c r="C46" s="29"/>
      <c r="D46" s="29"/>
      <c r="E46" s="29"/>
      <c r="F46" s="29"/>
      <c r="G46" s="29"/>
      <c r="H46" s="29"/>
      <c r="I46" s="29"/>
      <c r="J46" s="58"/>
      <c r="K46" s="59"/>
      <c r="L46" s="58" t="s">
        <v>188</v>
      </c>
      <c r="M46" s="29"/>
      <c r="N46" s="6"/>
    </row>
    <row r="47" spans="1:14" ht="15.75">
      <c r="A47" s="28"/>
      <c r="B47" s="29" t="s">
        <v>34</v>
      </c>
      <c r="C47" s="29"/>
      <c r="D47" s="29"/>
      <c r="E47" s="29"/>
      <c r="F47" s="29"/>
      <c r="G47" s="29"/>
      <c r="H47" s="29"/>
      <c r="I47" s="29"/>
      <c r="J47" s="58"/>
      <c r="K47" s="59"/>
      <c r="L47" s="58">
        <v>37228</v>
      </c>
      <c r="M47" s="29"/>
      <c r="N47" s="6"/>
    </row>
    <row r="48" spans="1:14" ht="15.75">
      <c r="A48" s="28"/>
      <c r="B48" s="29"/>
      <c r="C48" s="29"/>
      <c r="D48" s="29"/>
      <c r="E48" s="29"/>
      <c r="F48" s="29"/>
      <c r="G48" s="29"/>
      <c r="H48" s="29"/>
      <c r="I48" s="29"/>
      <c r="J48" s="58"/>
      <c r="K48" s="59"/>
      <c r="L48" s="58"/>
      <c r="M48" s="29"/>
      <c r="N48" s="6"/>
    </row>
    <row r="49" spans="1:14" ht="15.75">
      <c r="A49" s="7"/>
      <c r="B49" s="9"/>
      <c r="C49" s="9"/>
      <c r="D49" s="9"/>
      <c r="E49" s="9"/>
      <c r="F49" s="9"/>
      <c r="G49" s="9"/>
      <c r="H49" s="9"/>
      <c r="I49" s="9"/>
      <c r="J49" s="139"/>
      <c r="K49" s="140"/>
      <c r="L49" s="139"/>
      <c r="M49" s="9"/>
      <c r="N49" s="6"/>
    </row>
    <row r="50" spans="1:14" ht="16.5" thickBot="1">
      <c r="A50" s="144"/>
      <c r="B50" s="145" t="s">
        <v>191</v>
      </c>
      <c r="C50" s="146"/>
      <c r="D50" s="146"/>
      <c r="E50" s="146"/>
      <c r="F50" s="146"/>
      <c r="G50" s="146"/>
      <c r="H50" s="146"/>
      <c r="I50" s="146"/>
      <c r="J50" s="146"/>
      <c r="K50" s="146"/>
      <c r="L50" s="147"/>
      <c r="M50" s="148"/>
      <c r="N50" s="6"/>
    </row>
    <row r="51" spans="1:14" ht="15.75">
      <c r="A51" s="2"/>
      <c r="B51" s="5"/>
      <c r="C51" s="5"/>
      <c r="D51" s="5"/>
      <c r="E51" s="5"/>
      <c r="F51" s="5"/>
      <c r="G51" s="5"/>
      <c r="H51" s="5"/>
      <c r="I51" s="5"/>
      <c r="J51" s="5"/>
      <c r="K51" s="5"/>
      <c r="L51" s="62"/>
      <c r="M51" s="5"/>
      <c r="N51" s="6"/>
    </row>
    <row r="52" spans="1:14" ht="15.75">
      <c r="A52" s="7"/>
      <c r="B52" s="63" t="s">
        <v>36</v>
      </c>
      <c r="C52" s="15"/>
      <c r="D52" s="9"/>
      <c r="E52" s="9"/>
      <c r="F52" s="9"/>
      <c r="G52" s="9"/>
      <c r="H52" s="9"/>
      <c r="I52" s="9"/>
      <c r="J52" s="9"/>
      <c r="K52" s="9"/>
      <c r="L52" s="64"/>
      <c r="M52" s="9"/>
      <c r="N52" s="6"/>
    </row>
    <row r="53" spans="1:14" ht="15.75">
      <c r="A53" s="7"/>
      <c r="B53" s="15"/>
      <c r="C53" s="15"/>
      <c r="D53" s="9"/>
      <c r="E53" s="9"/>
      <c r="F53" s="9"/>
      <c r="G53" s="9"/>
      <c r="H53" s="9"/>
      <c r="I53" s="9"/>
      <c r="J53" s="9"/>
      <c r="K53" s="9"/>
      <c r="L53" s="64"/>
      <c r="M53" s="9"/>
      <c r="N53" s="6"/>
    </row>
    <row r="54" spans="1:14" s="176" customFormat="1" ht="47.25">
      <c r="A54" s="170"/>
      <c r="B54" s="171"/>
      <c r="C54" s="172" t="s">
        <v>139</v>
      </c>
      <c r="D54" s="172" t="s">
        <v>149</v>
      </c>
      <c r="E54" s="172"/>
      <c r="F54" s="172" t="s">
        <v>164</v>
      </c>
      <c r="G54" s="172"/>
      <c r="H54" s="172" t="s">
        <v>175</v>
      </c>
      <c r="I54" s="172"/>
      <c r="J54" s="172" t="s">
        <v>178</v>
      </c>
      <c r="K54" s="172"/>
      <c r="L54" s="173" t="s">
        <v>189</v>
      </c>
      <c r="M54" s="174"/>
      <c r="N54" s="175"/>
    </row>
    <row r="55" spans="1:14" ht="15.75">
      <c r="A55" s="28"/>
      <c r="B55" s="29" t="s">
        <v>37</v>
      </c>
      <c r="C55" s="66">
        <f>81776+9633</f>
        <v>91409</v>
      </c>
      <c r="D55" s="66">
        <v>83214</v>
      </c>
      <c r="E55" s="66"/>
      <c r="F55" s="66">
        <f>7696+128+72+478</f>
        <v>8374</v>
      </c>
      <c r="G55" s="66"/>
      <c r="H55" s="66">
        <v>3704</v>
      </c>
      <c r="I55" s="66"/>
      <c r="J55" s="66">
        <v>0</v>
      </c>
      <c r="K55" s="66"/>
      <c r="L55" s="67">
        <f>D55-F55+H55-J55</f>
        <v>78544</v>
      </c>
      <c r="M55" s="29"/>
      <c r="N55" s="6"/>
    </row>
    <row r="56" spans="1:14" ht="15.75">
      <c r="A56" s="28"/>
      <c r="B56" s="29" t="s">
        <v>38</v>
      </c>
      <c r="C56" s="66">
        <v>1</v>
      </c>
      <c r="D56" s="66">
        <v>0</v>
      </c>
      <c r="E56" s="66"/>
      <c r="F56" s="66"/>
      <c r="G56" s="66"/>
      <c r="H56" s="66">
        <v>0</v>
      </c>
      <c r="I56" s="66"/>
      <c r="J56" s="66">
        <v>0</v>
      </c>
      <c r="K56" s="66"/>
      <c r="L56" s="67">
        <f>D56-F56</f>
        <v>0</v>
      </c>
      <c r="M56" s="29"/>
      <c r="N56" s="6"/>
    </row>
    <row r="57" spans="1:14" ht="15.75">
      <c r="A57" s="28"/>
      <c r="B57" s="29"/>
      <c r="C57" s="66"/>
      <c r="D57" s="66"/>
      <c r="E57" s="66"/>
      <c r="F57" s="66"/>
      <c r="G57" s="66"/>
      <c r="H57" s="66"/>
      <c r="I57" s="66"/>
      <c r="J57" s="66"/>
      <c r="K57" s="66"/>
      <c r="L57" s="67"/>
      <c r="M57" s="29"/>
      <c r="N57" s="6"/>
    </row>
    <row r="58" spans="1:14" ht="15.75">
      <c r="A58" s="28"/>
      <c r="B58" s="29" t="s">
        <v>39</v>
      </c>
      <c r="C58" s="66">
        <f>59449+801</f>
        <v>60250</v>
      </c>
      <c r="D58" s="66">
        <v>42724</v>
      </c>
      <c r="E58" s="66"/>
      <c r="F58" s="66">
        <v>17506</v>
      </c>
      <c r="G58" s="66"/>
      <c r="H58" s="66">
        <f>175+10101+1284+12723+1</f>
        <v>24284</v>
      </c>
      <c r="I58" s="66"/>
      <c r="J58" s="66">
        <f>SUM(J55:J57)</f>
        <v>0</v>
      </c>
      <c r="K58" s="66"/>
      <c r="L58" s="67">
        <f>D58-F58+H58-J58</f>
        <v>49502</v>
      </c>
      <c r="M58" s="29"/>
      <c r="N58" s="6"/>
    </row>
    <row r="59" spans="1:14" ht="15.75">
      <c r="A59" s="28"/>
      <c r="B59" s="29" t="s">
        <v>38</v>
      </c>
      <c r="C59" s="66">
        <v>136</v>
      </c>
      <c r="D59" s="66"/>
      <c r="E59" s="66"/>
      <c r="F59" s="66"/>
      <c r="G59" s="66"/>
      <c r="H59" s="66">
        <v>0</v>
      </c>
      <c r="I59" s="66"/>
      <c r="J59" s="66">
        <v>0</v>
      </c>
      <c r="K59" s="66"/>
      <c r="L59" s="68"/>
      <c r="M59" s="29"/>
      <c r="N59" s="6"/>
    </row>
    <row r="60" spans="1:14" ht="15.75">
      <c r="A60" s="28"/>
      <c r="B60" s="69"/>
      <c r="C60" s="66"/>
      <c r="D60" s="66"/>
      <c r="E60" s="66"/>
      <c r="F60" s="70"/>
      <c r="G60" s="66"/>
      <c r="H60" s="66"/>
      <c r="I60" s="66"/>
      <c r="J60" s="66"/>
      <c r="K60" s="66"/>
      <c r="L60" s="68"/>
      <c r="M60" s="29"/>
      <c r="N60" s="6"/>
    </row>
    <row r="61" spans="1:14" ht="15.75">
      <c r="A61" s="28"/>
      <c r="B61" s="29" t="s">
        <v>40</v>
      </c>
      <c r="C61" s="66">
        <v>25730</v>
      </c>
      <c r="D61" s="66">
        <v>24456</v>
      </c>
      <c r="E61" s="66"/>
      <c r="F61" s="66">
        <v>3466</v>
      </c>
      <c r="G61" s="66"/>
      <c r="H61" s="66">
        <f>4920+33089-1</f>
        <v>38008</v>
      </c>
      <c r="I61" s="66"/>
      <c r="J61" s="66">
        <v>0</v>
      </c>
      <c r="K61" s="66"/>
      <c r="L61" s="67">
        <f>D61-F61+H61-J61</f>
        <v>58998</v>
      </c>
      <c r="M61" s="29"/>
      <c r="N61" s="6"/>
    </row>
    <row r="62" spans="1:14" ht="15.75">
      <c r="A62" s="28"/>
      <c r="B62" s="29" t="s">
        <v>38</v>
      </c>
      <c r="C62" s="66">
        <v>260</v>
      </c>
      <c r="D62" s="67">
        <v>0</v>
      </c>
      <c r="E62" s="66"/>
      <c r="F62" s="66"/>
      <c r="G62" s="66"/>
      <c r="H62" s="66">
        <v>0</v>
      </c>
      <c r="I62" s="66"/>
      <c r="J62" s="66">
        <v>0</v>
      </c>
      <c r="K62" s="66"/>
      <c r="L62" s="67">
        <f>D62-F62+H62-J62</f>
        <v>0</v>
      </c>
      <c r="M62" s="29"/>
      <c r="N62" s="6"/>
    </row>
    <row r="63" spans="1:14" ht="15.75">
      <c r="A63" s="28"/>
      <c r="B63" s="29"/>
      <c r="C63" s="66"/>
      <c r="D63" s="67"/>
      <c r="E63" s="66"/>
      <c r="F63" s="66"/>
      <c r="G63" s="66"/>
      <c r="H63" s="66"/>
      <c r="I63" s="66"/>
      <c r="J63" s="66"/>
      <c r="K63" s="66"/>
      <c r="L63" s="67"/>
      <c r="M63" s="29"/>
      <c r="N63" s="6"/>
    </row>
    <row r="64" spans="1:14" ht="15.75">
      <c r="A64" s="28"/>
      <c r="B64" s="29" t="s">
        <v>41</v>
      </c>
      <c r="C64" s="66">
        <v>26410</v>
      </c>
      <c r="D64" s="67">
        <v>24331</v>
      </c>
      <c r="E64" s="66"/>
      <c r="F64" s="66">
        <f>3177+19</f>
        <v>3196</v>
      </c>
      <c r="G64" s="66"/>
      <c r="H64" s="66">
        <f>5041+11770+1</f>
        <v>16812</v>
      </c>
      <c r="I64" s="66"/>
      <c r="J64" s="66">
        <v>0</v>
      </c>
      <c r="K64" s="66"/>
      <c r="L64" s="67">
        <f>D64-F64+H64-J64</f>
        <v>37947</v>
      </c>
      <c r="M64" s="29"/>
      <c r="N64" s="6"/>
    </row>
    <row r="65" spans="1:14" ht="15.75">
      <c r="A65" s="28"/>
      <c r="B65" s="29" t="s">
        <v>38</v>
      </c>
      <c r="C65" s="66">
        <v>229</v>
      </c>
      <c r="D65" s="67"/>
      <c r="E65" s="66"/>
      <c r="F65" s="66"/>
      <c r="G65" s="66"/>
      <c r="H65" s="66">
        <v>0</v>
      </c>
      <c r="I65" s="66"/>
      <c r="J65" s="66">
        <v>0</v>
      </c>
      <c r="K65" s="66"/>
      <c r="L65" s="67"/>
      <c r="M65" s="29"/>
      <c r="N65" s="6"/>
    </row>
    <row r="66" spans="1:14" ht="15.75">
      <c r="A66" s="28"/>
      <c r="B66" s="66"/>
      <c r="C66" s="66"/>
      <c r="D66" s="67"/>
      <c r="E66" s="66"/>
      <c r="F66" s="66"/>
      <c r="G66" s="66"/>
      <c r="H66" s="66"/>
      <c r="I66" s="66"/>
      <c r="J66" s="66"/>
      <c r="K66" s="66"/>
      <c r="L66" s="67"/>
      <c r="M66" s="29"/>
      <c r="N66" s="6"/>
    </row>
    <row r="67" spans="1:14" ht="15.75">
      <c r="A67" s="28"/>
      <c r="B67" s="29" t="s">
        <v>42</v>
      </c>
      <c r="C67" s="66">
        <f>SUM(C55:C65)</f>
        <v>204425</v>
      </c>
      <c r="D67" s="66">
        <v>174725</v>
      </c>
      <c r="E67" s="66"/>
      <c r="F67" s="66">
        <f>SUM(F55:F65)</f>
        <v>32542</v>
      </c>
      <c r="G67" s="66"/>
      <c r="H67" s="66">
        <f>SUM(H55:H65)</f>
        <v>82808</v>
      </c>
      <c r="I67" s="66"/>
      <c r="J67" s="66">
        <f>SUM(J62:J66)</f>
        <v>0</v>
      </c>
      <c r="K67" s="66"/>
      <c r="L67" s="66">
        <f>SUM(L55:L66)</f>
        <v>224991</v>
      </c>
      <c r="M67" s="29"/>
      <c r="N67" s="6"/>
    </row>
    <row r="68" spans="1:14" ht="15.75">
      <c r="A68" s="28"/>
      <c r="B68" s="29"/>
      <c r="C68" s="66"/>
      <c r="D68" s="68"/>
      <c r="E68" s="66"/>
      <c r="F68" s="66"/>
      <c r="G68" s="66"/>
      <c r="H68" s="66"/>
      <c r="I68" s="66"/>
      <c r="J68" s="66"/>
      <c r="K68" s="66"/>
      <c r="L68" s="68"/>
      <c r="M68" s="29"/>
      <c r="N68" s="6"/>
    </row>
    <row r="69" spans="1:14" ht="15.75">
      <c r="A69" s="28"/>
      <c r="B69" s="29" t="s">
        <v>43</v>
      </c>
      <c r="C69" s="66">
        <f>-1789-10434</f>
        <v>-12223</v>
      </c>
      <c r="D69" s="66">
        <v>-14121</v>
      </c>
      <c r="E69" s="66"/>
      <c r="F69" s="66">
        <f>2079+286</f>
        <v>2365</v>
      </c>
      <c r="G69" s="66"/>
      <c r="H69" s="66"/>
      <c r="I69" s="66"/>
      <c r="J69" s="66"/>
      <c r="K69" s="66"/>
      <c r="L69" s="66">
        <f>D69-F69</f>
        <v>-16486</v>
      </c>
      <c r="M69" s="29"/>
      <c r="N69" s="6"/>
    </row>
    <row r="70" spans="1:14" ht="15.75">
      <c r="A70" s="28"/>
      <c r="B70" s="29" t="s">
        <v>44</v>
      </c>
      <c r="C70" s="66">
        <v>58798</v>
      </c>
      <c r="D70" s="68">
        <v>89770</v>
      </c>
      <c r="E70" s="66"/>
      <c r="F70" s="66">
        <f>SUM(F67:F69)</f>
        <v>34907</v>
      </c>
      <c r="G70" s="66"/>
      <c r="H70" s="66">
        <f>-H67</f>
        <v>-82808</v>
      </c>
      <c r="I70" s="66"/>
      <c r="J70" s="66"/>
      <c r="K70" s="66"/>
      <c r="L70" s="68">
        <f>D70+F70+H70+D73</f>
        <v>42495</v>
      </c>
      <c r="M70" s="29"/>
      <c r="N70" s="6"/>
    </row>
    <row r="71" spans="1:14" ht="15.75">
      <c r="A71" s="28"/>
      <c r="B71" s="29" t="s">
        <v>45</v>
      </c>
      <c r="C71" s="66">
        <v>0</v>
      </c>
      <c r="D71" s="68">
        <v>0</v>
      </c>
      <c r="E71" s="66"/>
      <c r="F71" s="66"/>
      <c r="G71" s="66"/>
      <c r="H71" s="66">
        <v>0</v>
      </c>
      <c r="I71" s="66"/>
      <c r="J71" s="66"/>
      <c r="K71" s="66"/>
      <c r="L71" s="68">
        <f>H71+D71</f>
        <v>0</v>
      </c>
      <c r="M71" s="29"/>
      <c r="N71" s="6"/>
    </row>
    <row r="72" spans="1:14" ht="15.75">
      <c r="A72" s="28"/>
      <c r="B72" s="29" t="s">
        <v>46</v>
      </c>
      <c r="C72" s="66">
        <v>0</v>
      </c>
      <c r="D72" s="68">
        <v>0</v>
      </c>
      <c r="E72" s="66"/>
      <c r="F72" s="66">
        <v>0</v>
      </c>
      <c r="G72" s="66"/>
      <c r="H72" s="66"/>
      <c r="I72" s="66"/>
      <c r="J72" s="66"/>
      <c r="K72" s="66"/>
      <c r="L72" s="68">
        <f>D72+F72+H72</f>
        <v>0</v>
      </c>
      <c r="M72" s="29"/>
      <c r="N72" s="6"/>
    </row>
    <row r="73" spans="1:14" ht="15.75">
      <c r="A73" s="28"/>
      <c r="B73" s="29" t="s">
        <v>47</v>
      </c>
      <c r="C73" s="66">
        <v>0</v>
      </c>
      <c r="D73" s="68">
        <v>626</v>
      </c>
      <c r="E73" s="66"/>
      <c r="F73" s="66"/>
      <c r="G73" s="66"/>
      <c r="H73" s="71"/>
      <c r="I73" s="66"/>
      <c r="J73" s="66"/>
      <c r="K73" s="66"/>
      <c r="L73" s="68">
        <v>0</v>
      </c>
      <c r="M73" s="29"/>
      <c r="N73" s="6"/>
    </row>
    <row r="74" spans="1:14" ht="15.75">
      <c r="A74" s="28"/>
      <c r="B74" s="29" t="s">
        <v>19</v>
      </c>
      <c r="C74" s="68">
        <f>SUM(C67:C73)</f>
        <v>251000</v>
      </c>
      <c r="D74" s="68">
        <f>SUM(D67:D73)</f>
        <v>251000</v>
      </c>
      <c r="E74" s="66"/>
      <c r="F74" s="66">
        <f>F70-F73-F72</f>
        <v>34907</v>
      </c>
      <c r="G74" s="66"/>
      <c r="H74" s="66"/>
      <c r="I74" s="66"/>
      <c r="J74" s="66"/>
      <c r="K74" s="66"/>
      <c r="L74" s="68">
        <f>SUM(L67:L73)</f>
        <v>251000</v>
      </c>
      <c r="M74" s="29"/>
      <c r="N74" s="6"/>
    </row>
    <row r="75" spans="1:14" ht="15.75">
      <c r="A75" s="28"/>
      <c r="B75" s="66"/>
      <c r="C75" s="29"/>
      <c r="D75" s="29"/>
      <c r="E75" s="29"/>
      <c r="F75" s="29"/>
      <c r="G75" s="29"/>
      <c r="H75" s="29"/>
      <c r="I75" s="29"/>
      <c r="J75" s="36"/>
      <c r="K75" s="29"/>
      <c r="L75" s="36"/>
      <c r="M75" s="29"/>
      <c r="N75" s="6"/>
    </row>
    <row r="76" spans="1:14" ht="15.75">
      <c r="A76" s="7"/>
      <c r="B76" s="63" t="s">
        <v>48</v>
      </c>
      <c r="C76" s="16"/>
      <c r="D76" s="16"/>
      <c r="E76" s="16"/>
      <c r="F76" s="16"/>
      <c r="G76" s="16"/>
      <c r="H76" s="16"/>
      <c r="I76" s="19"/>
      <c r="J76" s="19"/>
      <c r="K76" s="19"/>
      <c r="L76" s="19" t="s">
        <v>190</v>
      </c>
      <c r="M76" s="16"/>
      <c r="N76" s="6"/>
    </row>
    <row r="77" spans="1:15" ht="15.75">
      <c r="A77" s="28"/>
      <c r="B77" s="29" t="s">
        <v>49</v>
      </c>
      <c r="C77" s="29"/>
      <c r="D77" s="29"/>
      <c r="E77" s="29"/>
      <c r="F77" s="29"/>
      <c r="G77" s="29"/>
      <c r="H77" s="29"/>
      <c r="I77" s="29"/>
      <c r="J77" s="66"/>
      <c r="K77" s="29"/>
      <c r="L77" s="67">
        <f>52060+20+6290+172+50-1978+1265-384-1</f>
        <v>57494</v>
      </c>
      <c r="M77" s="29"/>
      <c r="N77" s="6"/>
      <c r="O77" s="67"/>
    </row>
    <row r="78" spans="1:15" ht="15.75">
      <c r="A78" s="28"/>
      <c r="B78" s="29" t="s">
        <v>50</v>
      </c>
      <c r="C78" s="53"/>
      <c r="D78" s="57"/>
      <c r="E78" s="29"/>
      <c r="F78" s="29"/>
      <c r="G78" s="29"/>
      <c r="H78" s="29"/>
      <c r="I78" s="29"/>
      <c r="J78" s="66"/>
      <c r="K78" s="29"/>
      <c r="L78" s="67">
        <f>689+108</f>
        <v>797</v>
      </c>
      <c r="M78" s="29"/>
      <c r="N78" s="6"/>
      <c r="O78" s="141"/>
    </row>
    <row r="79" spans="1:14" ht="15.75">
      <c r="A79" s="28"/>
      <c r="B79" s="29" t="s">
        <v>51</v>
      </c>
      <c r="C79" s="53"/>
      <c r="D79" s="57"/>
      <c r="E79" s="29"/>
      <c r="F79" s="29"/>
      <c r="G79" s="29"/>
      <c r="H79" s="29"/>
      <c r="I79" s="29"/>
      <c r="J79" s="66"/>
      <c r="K79" s="29"/>
      <c r="L79" s="67">
        <v>-10793</v>
      </c>
      <c r="M79" s="29"/>
      <c r="N79" s="6"/>
    </row>
    <row r="80" spans="1:14" ht="15.75">
      <c r="A80" s="28"/>
      <c r="B80" s="29" t="s">
        <v>192</v>
      </c>
      <c r="C80" s="53"/>
      <c r="D80" s="57"/>
      <c r="E80" s="29"/>
      <c r="F80" s="29"/>
      <c r="G80" s="29"/>
      <c r="H80" s="29"/>
      <c r="I80" s="29"/>
      <c r="J80" s="66"/>
      <c r="K80" s="29"/>
      <c r="L80" s="67">
        <v>-8</v>
      </c>
      <c r="M80" s="29"/>
      <c r="N80" s="6"/>
    </row>
    <row r="81" spans="1:14" ht="15.75">
      <c r="A81" s="28"/>
      <c r="B81" s="29" t="s">
        <v>52</v>
      </c>
      <c r="C81" s="29"/>
      <c r="D81" s="29"/>
      <c r="E81" s="29"/>
      <c r="F81" s="29"/>
      <c r="G81" s="29"/>
      <c r="H81" s="29"/>
      <c r="I81" s="29"/>
      <c r="J81" s="66"/>
      <c r="K81" s="29"/>
      <c r="L81" s="67">
        <v>0</v>
      </c>
      <c r="M81" s="29"/>
      <c r="N81" s="6"/>
    </row>
    <row r="82" spans="1:14" ht="15.75">
      <c r="A82" s="28"/>
      <c r="B82" s="29" t="s">
        <v>53</v>
      </c>
      <c r="C82" s="29"/>
      <c r="D82" s="29"/>
      <c r="E82" s="29"/>
      <c r="F82" s="29"/>
      <c r="G82" s="29"/>
      <c r="H82" s="29"/>
      <c r="I82" s="29"/>
      <c r="J82" s="66"/>
      <c r="K82" s="29"/>
      <c r="L82" s="67">
        <f>SUM(L77:L81)</f>
        <v>47490</v>
      </c>
      <c r="M82" s="29"/>
      <c r="N82" s="6"/>
    </row>
    <row r="83" spans="1:14" ht="15.75">
      <c r="A83" s="28"/>
      <c r="B83" s="29"/>
      <c r="C83" s="29"/>
      <c r="D83" s="29"/>
      <c r="E83" s="29"/>
      <c r="F83" s="29"/>
      <c r="G83" s="29"/>
      <c r="H83" s="29"/>
      <c r="I83" s="29"/>
      <c r="J83" s="66"/>
      <c r="K83" s="29"/>
      <c r="L83" s="68"/>
      <c r="M83" s="29"/>
      <c r="N83" s="6"/>
    </row>
    <row r="84" spans="1:14" ht="15.75">
      <c r="A84" s="28"/>
      <c r="B84" s="164" t="s">
        <v>54</v>
      </c>
      <c r="C84" s="73"/>
      <c r="D84" s="29"/>
      <c r="E84" s="29"/>
      <c r="F84" s="29"/>
      <c r="G84" s="29"/>
      <c r="H84" s="29"/>
      <c r="I84" s="29"/>
      <c r="J84" s="66"/>
      <c r="K84" s="29"/>
      <c r="L84" s="67"/>
      <c r="M84" s="29"/>
      <c r="N84" s="6"/>
    </row>
    <row r="85" spans="1:14" ht="15.75">
      <c r="A85" s="28">
        <v>1</v>
      </c>
      <c r="B85" s="29" t="s">
        <v>55</v>
      </c>
      <c r="C85" s="29"/>
      <c r="D85" s="29"/>
      <c r="E85" s="29"/>
      <c r="F85" s="29"/>
      <c r="G85" s="29"/>
      <c r="H85" s="29"/>
      <c r="I85" s="29"/>
      <c r="J85" s="29"/>
      <c r="K85" s="29"/>
      <c r="L85" s="67">
        <v>-5</v>
      </c>
      <c r="M85" s="29"/>
      <c r="N85" s="6"/>
    </row>
    <row r="86" spans="1:14" ht="15.75">
      <c r="A86" s="28">
        <f aca="true" t="shared" si="0" ref="A86:A94">A85+1</f>
        <v>2</v>
      </c>
      <c r="B86" s="29" t="s">
        <v>56</v>
      </c>
      <c r="C86" s="29"/>
      <c r="D86" s="29"/>
      <c r="E86" s="29"/>
      <c r="F86" s="29"/>
      <c r="G86" s="29"/>
      <c r="H86" s="29"/>
      <c r="I86" s="29"/>
      <c r="J86" s="29"/>
      <c r="K86" s="29"/>
      <c r="L86" s="67">
        <v>-394</v>
      </c>
      <c r="M86" s="29"/>
      <c r="N86" s="6"/>
    </row>
    <row r="87" spans="1:14" ht="15.75">
      <c r="A87" s="28">
        <f t="shared" si="0"/>
        <v>3</v>
      </c>
      <c r="B87" s="29" t="s">
        <v>57</v>
      </c>
      <c r="C87" s="29"/>
      <c r="D87" s="29"/>
      <c r="E87" s="29"/>
      <c r="F87" s="29"/>
      <c r="G87" s="29"/>
      <c r="H87" s="29"/>
      <c r="I87" s="29"/>
      <c r="J87" s="29"/>
      <c r="K87" s="29"/>
      <c r="L87" s="67">
        <v>-392</v>
      </c>
      <c r="M87" s="29"/>
      <c r="N87" s="6"/>
    </row>
    <row r="88" spans="1:14" ht="15.75">
      <c r="A88" s="28">
        <f t="shared" si="0"/>
        <v>4</v>
      </c>
      <c r="B88" s="29" t="s">
        <v>58</v>
      </c>
      <c r="C88" s="29"/>
      <c r="D88" s="29"/>
      <c r="E88" s="29"/>
      <c r="F88" s="29"/>
      <c r="G88" s="29"/>
      <c r="H88" s="29"/>
      <c r="I88" s="29"/>
      <c r="J88" s="29"/>
      <c r="K88" s="29"/>
      <c r="L88" s="67">
        <v>-2253</v>
      </c>
      <c r="M88" s="29"/>
      <c r="N88" s="6"/>
    </row>
    <row r="89" spans="1:14" ht="15.75">
      <c r="A89" s="28">
        <f t="shared" si="0"/>
        <v>5</v>
      </c>
      <c r="B89" s="29" t="s">
        <v>59</v>
      </c>
      <c r="C89" s="29"/>
      <c r="D89" s="29"/>
      <c r="E89" s="29"/>
      <c r="F89" s="29"/>
      <c r="G89" s="29"/>
      <c r="H89" s="29"/>
      <c r="I89" s="29"/>
      <c r="J89" s="29"/>
      <c r="K89" s="29"/>
      <c r="L89" s="67">
        <v>-3</v>
      </c>
      <c r="M89" s="29"/>
      <c r="N89" s="6"/>
    </row>
    <row r="90" spans="1:14" ht="15.75">
      <c r="A90" s="28">
        <f t="shared" si="0"/>
        <v>6</v>
      </c>
      <c r="B90" s="29" t="s">
        <v>60</v>
      </c>
      <c r="C90" s="29"/>
      <c r="D90" s="29"/>
      <c r="E90" s="29"/>
      <c r="F90" s="29"/>
      <c r="G90" s="29"/>
      <c r="H90" s="29"/>
      <c r="I90" s="29"/>
      <c r="J90" s="29"/>
      <c r="K90" s="29"/>
      <c r="L90" s="67">
        <v>-722</v>
      </c>
      <c r="M90" s="29"/>
      <c r="N90" s="6"/>
    </row>
    <row r="91" spans="1:14" ht="15.75">
      <c r="A91" s="28">
        <f t="shared" si="0"/>
        <v>7</v>
      </c>
      <c r="B91" s="29" t="s">
        <v>61</v>
      </c>
      <c r="C91" s="29"/>
      <c r="D91" s="29"/>
      <c r="E91" s="29"/>
      <c r="F91" s="29"/>
      <c r="G91" s="29"/>
      <c r="H91" s="29"/>
      <c r="I91" s="29"/>
      <c r="J91" s="29"/>
      <c r="K91" s="29"/>
      <c r="L91" s="67">
        <v>-374</v>
      </c>
      <c r="M91" s="29"/>
      <c r="N91" s="6"/>
    </row>
    <row r="92" spans="1:14" ht="15.75">
      <c r="A92" s="28">
        <f t="shared" si="0"/>
        <v>8</v>
      </c>
      <c r="B92" s="29" t="s">
        <v>62</v>
      </c>
      <c r="C92" s="29"/>
      <c r="D92" s="29"/>
      <c r="E92" s="29"/>
      <c r="F92" s="29"/>
      <c r="G92" s="29"/>
      <c r="H92" s="29"/>
      <c r="I92" s="29"/>
      <c r="J92" s="29"/>
      <c r="K92" s="29"/>
      <c r="L92" s="67">
        <v>0</v>
      </c>
      <c r="M92" s="29"/>
      <c r="N92" s="6"/>
    </row>
    <row r="93" spans="1:14" ht="15.75">
      <c r="A93" s="28">
        <f t="shared" si="0"/>
        <v>9</v>
      </c>
      <c r="B93" s="29" t="s">
        <v>44</v>
      </c>
      <c r="C93" s="29"/>
      <c r="D93" s="29"/>
      <c r="E93" s="29"/>
      <c r="F93" s="29"/>
      <c r="G93" s="29"/>
      <c r="H93" s="29"/>
      <c r="I93" s="29"/>
      <c r="J93" s="66"/>
      <c r="K93" s="29"/>
      <c r="L93" s="67">
        <f>L82+SUM(L85:L91)-L94</f>
        <v>42495</v>
      </c>
      <c r="M93" s="29"/>
      <c r="N93" s="6"/>
    </row>
    <row r="94" spans="1:15" ht="15.75">
      <c r="A94" s="28">
        <f t="shared" si="0"/>
        <v>10</v>
      </c>
      <c r="B94" s="29" t="s">
        <v>63</v>
      </c>
      <c r="C94" s="29"/>
      <c r="D94" s="29"/>
      <c r="E94" s="29"/>
      <c r="F94" s="29"/>
      <c r="G94" s="29"/>
      <c r="H94" s="29"/>
      <c r="I94" s="29"/>
      <c r="J94" s="29"/>
      <c r="K94" s="29"/>
      <c r="L94" s="67">
        <f>J195+SUM(L82:L91)+J197-J200</f>
        <v>852</v>
      </c>
      <c r="M94" s="29"/>
      <c r="N94" s="6"/>
      <c r="O94" s="72"/>
    </row>
    <row r="95" spans="1:14" ht="15.75">
      <c r="A95" s="28"/>
      <c r="B95" s="32"/>
      <c r="C95" s="29"/>
      <c r="D95" s="29"/>
      <c r="E95" s="29"/>
      <c r="F95" s="29"/>
      <c r="G95" s="29"/>
      <c r="H95" s="29"/>
      <c r="I95" s="29"/>
      <c r="J95" s="66"/>
      <c r="K95" s="66"/>
      <c r="L95" s="66"/>
      <c r="M95" s="29"/>
      <c r="N95" s="6"/>
    </row>
    <row r="96" spans="1:14" ht="15.75">
      <c r="A96" s="7"/>
      <c r="B96" s="14"/>
      <c r="C96" s="9"/>
      <c r="D96" s="9"/>
      <c r="E96" s="9"/>
      <c r="F96" s="9"/>
      <c r="G96" s="9"/>
      <c r="H96" s="9"/>
      <c r="I96" s="9"/>
      <c r="J96" s="74"/>
      <c r="K96" s="74"/>
      <c r="L96" s="74"/>
      <c r="M96" s="9"/>
      <c r="N96" s="6"/>
    </row>
    <row r="97" spans="1:14" ht="16.5" thickBot="1">
      <c r="A97" s="144"/>
      <c r="B97" s="145" t="s">
        <v>191</v>
      </c>
      <c r="C97" s="146"/>
      <c r="D97" s="146"/>
      <c r="E97" s="146"/>
      <c r="F97" s="146"/>
      <c r="G97" s="146"/>
      <c r="H97" s="146"/>
      <c r="I97" s="146"/>
      <c r="J97" s="149"/>
      <c r="K97" s="149"/>
      <c r="L97" s="149"/>
      <c r="M97" s="148"/>
      <c r="N97" s="6"/>
    </row>
    <row r="98" spans="1:14" ht="15.75">
      <c r="A98" s="2"/>
      <c r="B98" s="5"/>
      <c r="C98" s="5"/>
      <c r="D98" s="5"/>
      <c r="E98" s="5"/>
      <c r="F98" s="5"/>
      <c r="G98" s="5"/>
      <c r="H98" s="5"/>
      <c r="I98" s="5"/>
      <c r="J98" s="75"/>
      <c r="K98" s="75"/>
      <c r="L98" s="75"/>
      <c r="M98" s="5"/>
      <c r="N98" s="6"/>
    </row>
    <row r="99" spans="1:14" ht="15.75">
      <c r="A99" s="76"/>
      <c r="B99" s="77" t="s">
        <v>64</v>
      </c>
      <c r="C99" s="78"/>
      <c r="D99" s="78"/>
      <c r="E99" s="78"/>
      <c r="F99" s="78"/>
      <c r="G99" s="78"/>
      <c r="H99" s="78"/>
      <c r="I99" s="78"/>
      <c r="J99" s="78"/>
      <c r="K99" s="78"/>
      <c r="L99" s="79"/>
      <c r="M99" s="80"/>
      <c r="N99" s="6"/>
    </row>
    <row r="100" spans="1:14" ht="15.75">
      <c r="A100" s="76"/>
      <c r="B100" s="78"/>
      <c r="C100" s="78"/>
      <c r="D100" s="78"/>
      <c r="E100" s="78"/>
      <c r="F100" s="78"/>
      <c r="G100" s="78"/>
      <c r="H100" s="78"/>
      <c r="I100" s="78"/>
      <c r="J100" s="78"/>
      <c r="K100" s="78"/>
      <c r="L100" s="79"/>
      <c r="M100" s="78"/>
      <c r="N100" s="6"/>
    </row>
    <row r="101" spans="1:14" ht="15.75">
      <c r="A101" s="7"/>
      <c r="B101" s="165" t="s">
        <v>65</v>
      </c>
      <c r="C101" s="15"/>
      <c r="D101" s="9"/>
      <c r="E101" s="9"/>
      <c r="F101" s="9"/>
      <c r="G101" s="9"/>
      <c r="H101" s="9"/>
      <c r="I101" s="9"/>
      <c r="J101" s="9"/>
      <c r="K101" s="9"/>
      <c r="L101" s="64"/>
      <c r="M101" s="9"/>
      <c r="N101" s="6"/>
    </row>
    <row r="102" spans="1:14" ht="15.75">
      <c r="A102" s="28"/>
      <c r="B102" s="29" t="s">
        <v>66</v>
      </c>
      <c r="C102" s="29"/>
      <c r="D102" s="29"/>
      <c r="E102" s="29"/>
      <c r="F102" s="29"/>
      <c r="G102" s="29"/>
      <c r="H102" s="29"/>
      <c r="I102" s="29"/>
      <c r="J102" s="29"/>
      <c r="K102" s="29"/>
      <c r="L102" s="67">
        <f>10793+400</f>
        <v>11193</v>
      </c>
      <c r="M102" s="29"/>
      <c r="N102" s="6"/>
    </row>
    <row r="103" spans="1:14" ht="15.75">
      <c r="A103" s="28"/>
      <c r="B103" s="29" t="s">
        <v>67</v>
      </c>
      <c r="C103" s="29"/>
      <c r="D103" s="29"/>
      <c r="E103" s="29"/>
      <c r="F103" s="29"/>
      <c r="G103" s="29"/>
      <c r="H103" s="29"/>
      <c r="I103" s="29"/>
      <c r="J103" s="29"/>
      <c r="K103" s="29"/>
      <c r="L103" s="67">
        <v>10793</v>
      </c>
      <c r="M103" s="29"/>
      <c r="N103" s="6"/>
    </row>
    <row r="104" spans="1:14" ht="15.75">
      <c r="A104" s="28"/>
      <c r="B104" s="29" t="s">
        <v>68</v>
      </c>
      <c r="C104" s="29"/>
      <c r="D104" s="29"/>
      <c r="E104" s="29"/>
      <c r="F104" s="29"/>
      <c r="G104" s="29"/>
      <c r="H104" s="29"/>
      <c r="I104" s="29"/>
      <c r="J104" s="29"/>
      <c r="K104" s="29"/>
      <c r="L104" s="67">
        <v>0</v>
      </c>
      <c r="M104" s="29"/>
      <c r="N104" s="6"/>
    </row>
    <row r="105" spans="1:14" ht="15.75">
      <c r="A105" s="28"/>
      <c r="B105" s="29" t="s">
        <v>69</v>
      </c>
      <c r="C105" s="29"/>
      <c r="D105" s="29"/>
      <c r="E105" s="29"/>
      <c r="F105" s="29"/>
      <c r="G105" s="29"/>
      <c r="H105" s="29"/>
      <c r="I105" s="29"/>
      <c r="J105" s="29"/>
      <c r="K105" s="29"/>
      <c r="L105" s="67">
        <v>-400</v>
      </c>
      <c r="M105" s="29"/>
      <c r="N105" s="6"/>
    </row>
    <row r="106" spans="1:14" ht="15.75">
      <c r="A106" s="28"/>
      <c r="B106" s="29" t="s">
        <v>70</v>
      </c>
      <c r="C106" s="29"/>
      <c r="D106" s="29"/>
      <c r="E106" s="29"/>
      <c r="F106" s="29"/>
      <c r="G106" s="29"/>
      <c r="H106" s="29"/>
      <c r="I106" s="29"/>
      <c r="J106" s="29"/>
      <c r="K106" s="29"/>
      <c r="L106" s="67">
        <v>0</v>
      </c>
      <c r="M106" s="29"/>
      <c r="N106" s="6"/>
    </row>
    <row r="107" spans="1:14" ht="15.75">
      <c r="A107" s="28"/>
      <c r="B107" s="29" t="s">
        <v>58</v>
      </c>
      <c r="C107" s="29"/>
      <c r="D107" s="29"/>
      <c r="E107" s="29"/>
      <c r="F107" s="29"/>
      <c r="G107" s="29"/>
      <c r="H107" s="29"/>
      <c r="I107" s="29"/>
      <c r="J107" s="29"/>
      <c r="K107" s="29"/>
      <c r="L107" s="67">
        <v>0</v>
      </c>
      <c r="M107" s="29"/>
      <c r="N107" s="6"/>
    </row>
    <row r="108" spans="1:14" ht="15.75">
      <c r="A108" s="28"/>
      <c r="B108" s="29" t="s">
        <v>60</v>
      </c>
      <c r="C108" s="29"/>
      <c r="D108" s="29"/>
      <c r="E108" s="29"/>
      <c r="F108" s="29"/>
      <c r="G108" s="29"/>
      <c r="H108" s="29"/>
      <c r="I108" s="29"/>
      <c r="J108" s="29"/>
      <c r="K108" s="29"/>
      <c r="L108" s="67">
        <v>0</v>
      </c>
      <c r="M108" s="29"/>
      <c r="N108" s="6"/>
    </row>
    <row r="109" spans="1:14" ht="15.75">
      <c r="A109" s="28"/>
      <c r="B109" s="29" t="s">
        <v>61</v>
      </c>
      <c r="C109" s="29"/>
      <c r="D109" s="29"/>
      <c r="E109" s="29"/>
      <c r="F109" s="29"/>
      <c r="G109" s="29"/>
      <c r="H109" s="29"/>
      <c r="I109" s="29"/>
      <c r="J109" s="29"/>
      <c r="K109" s="29"/>
      <c r="L109" s="67">
        <v>0</v>
      </c>
      <c r="M109" s="29"/>
      <c r="N109" s="6"/>
    </row>
    <row r="110" spans="1:14" ht="15.75">
      <c r="A110" s="28"/>
      <c r="B110" s="29" t="s">
        <v>71</v>
      </c>
      <c r="C110" s="29"/>
      <c r="D110" s="29"/>
      <c r="E110" s="29"/>
      <c r="F110" s="29"/>
      <c r="G110" s="29"/>
      <c r="H110" s="29"/>
      <c r="I110" s="29"/>
      <c r="J110" s="29"/>
      <c r="K110" s="29"/>
      <c r="L110" s="67">
        <f>L102+L105</f>
        <v>10793</v>
      </c>
      <c r="M110" s="29"/>
      <c r="N110" s="6"/>
    </row>
    <row r="111" spans="1:14" ht="15.75">
      <c r="A111" s="28"/>
      <c r="B111" s="29"/>
      <c r="C111" s="29"/>
      <c r="D111" s="29"/>
      <c r="E111" s="29"/>
      <c r="F111" s="29"/>
      <c r="G111" s="29"/>
      <c r="H111" s="29"/>
      <c r="I111" s="29"/>
      <c r="J111" s="29"/>
      <c r="K111" s="29"/>
      <c r="L111" s="81"/>
      <c r="M111" s="29"/>
      <c r="N111" s="6"/>
    </row>
    <row r="112" spans="1:14" ht="15.75">
      <c r="A112" s="7"/>
      <c r="B112" s="165" t="s">
        <v>72</v>
      </c>
      <c r="C112" s="15"/>
      <c r="D112" s="9"/>
      <c r="E112" s="9"/>
      <c r="F112" s="9"/>
      <c r="G112" s="82"/>
      <c r="H112" s="9"/>
      <c r="I112" s="9"/>
      <c r="J112" s="9"/>
      <c r="K112" s="9"/>
      <c r="L112" s="83"/>
      <c r="M112" s="9"/>
      <c r="N112" s="6"/>
    </row>
    <row r="113" spans="1:14" ht="15.75">
      <c r="A113" s="7"/>
      <c r="B113" s="15"/>
      <c r="C113" s="19" t="s">
        <v>140</v>
      </c>
      <c r="D113" s="19" t="s">
        <v>150</v>
      </c>
      <c r="E113" s="19" t="s">
        <v>156</v>
      </c>
      <c r="F113" s="19" t="s">
        <v>165</v>
      </c>
      <c r="G113" s="82"/>
      <c r="H113" s="82"/>
      <c r="I113" s="9"/>
      <c r="J113" s="9"/>
      <c r="K113" s="9"/>
      <c r="L113" s="83"/>
      <c r="M113" s="9"/>
      <c r="N113" s="6"/>
    </row>
    <row r="114" spans="1:14" ht="15.75">
      <c r="A114" s="28"/>
      <c r="B114" s="29" t="s">
        <v>73</v>
      </c>
      <c r="C114" s="29">
        <v>2079</v>
      </c>
      <c r="D114" s="29">
        <v>286</v>
      </c>
      <c r="E114" s="29">
        <v>0</v>
      </c>
      <c r="F114" s="29">
        <v>0</v>
      </c>
      <c r="G114" s="84"/>
      <c r="H114" s="84"/>
      <c r="I114" s="29"/>
      <c r="J114" s="29"/>
      <c r="K114" s="29"/>
      <c r="L114" s="67">
        <f>SUM(C114:F114)</f>
        <v>2365</v>
      </c>
      <c r="M114" s="29"/>
      <c r="N114" s="6"/>
    </row>
    <row r="115" spans="1:14" ht="15.75">
      <c r="A115" s="28"/>
      <c r="B115" s="29" t="s">
        <v>74</v>
      </c>
      <c r="C115" s="29">
        <v>308</v>
      </c>
      <c r="D115" s="29">
        <v>0</v>
      </c>
      <c r="E115" s="29">
        <v>0</v>
      </c>
      <c r="F115" s="29">
        <v>19</v>
      </c>
      <c r="G115" s="84"/>
      <c r="H115" s="84"/>
      <c r="I115" s="29"/>
      <c r="J115" s="29"/>
      <c r="K115" s="29"/>
      <c r="L115" s="67">
        <f>SUM(C115:F115)</f>
        <v>327</v>
      </c>
      <c r="M115" s="29"/>
      <c r="N115" s="6"/>
    </row>
    <row r="116" spans="1:14" ht="15.75">
      <c r="A116" s="28"/>
      <c r="B116" s="29" t="s">
        <v>75</v>
      </c>
      <c r="C116" s="29"/>
      <c r="D116" s="29"/>
      <c r="E116" s="29"/>
      <c r="F116" s="29"/>
      <c r="G116" s="29"/>
      <c r="H116" s="29"/>
      <c r="I116" s="29"/>
      <c r="J116" s="29"/>
      <c r="K116" s="29"/>
      <c r="L116" s="67">
        <f>SUM(L114:L115)</f>
        <v>2692</v>
      </c>
      <c r="M116" s="29"/>
      <c r="N116" s="6"/>
    </row>
    <row r="117" spans="1:14" ht="15.75">
      <c r="A117" s="28"/>
      <c r="B117" s="29" t="s">
        <v>76</v>
      </c>
      <c r="C117" s="66">
        <v>170</v>
      </c>
      <c r="D117" s="29"/>
      <c r="E117" s="29"/>
      <c r="F117" s="29"/>
      <c r="G117" s="29"/>
      <c r="H117" s="29"/>
      <c r="I117" s="29"/>
      <c r="J117" s="29"/>
      <c r="K117" s="29"/>
      <c r="L117" s="85"/>
      <c r="M117" s="29"/>
      <c r="N117" s="6"/>
    </row>
    <row r="118" spans="1:14" ht="15.75">
      <c r="A118" s="7"/>
      <c r="B118" s="165" t="s">
        <v>77</v>
      </c>
      <c r="C118" s="15"/>
      <c r="D118" s="9"/>
      <c r="E118" s="9"/>
      <c r="F118" s="9"/>
      <c r="G118" s="9"/>
      <c r="H118" s="9"/>
      <c r="I118" s="9"/>
      <c r="J118" s="9"/>
      <c r="K118" s="9"/>
      <c r="L118" s="64"/>
      <c r="M118" s="9"/>
      <c r="N118" s="6"/>
    </row>
    <row r="119" spans="1:14" ht="15.75">
      <c r="A119" s="28"/>
      <c r="B119" s="29" t="s">
        <v>78</v>
      </c>
      <c r="C119" s="86"/>
      <c r="D119" s="29"/>
      <c r="E119" s="29"/>
      <c r="F119" s="29"/>
      <c r="G119" s="29"/>
      <c r="H119" s="29"/>
      <c r="I119" s="29"/>
      <c r="J119" s="29"/>
      <c r="K119" s="29"/>
      <c r="L119" s="67">
        <f>L67</f>
        <v>224991</v>
      </c>
      <c r="M119" s="29"/>
      <c r="N119" s="6"/>
    </row>
    <row r="120" spans="1:14" ht="15.75">
      <c r="A120" s="28"/>
      <c r="B120" s="29" t="s">
        <v>79</v>
      </c>
      <c r="C120" s="86"/>
      <c r="D120" s="29"/>
      <c r="E120" s="29"/>
      <c r="F120" s="29"/>
      <c r="G120" s="29"/>
      <c r="H120" s="29"/>
      <c r="I120" s="29"/>
      <c r="J120" s="29"/>
      <c r="K120" s="29"/>
      <c r="L120" s="67">
        <f>L70</f>
        <v>42495</v>
      </c>
      <c r="M120" s="29"/>
      <c r="N120" s="6"/>
    </row>
    <row r="121" spans="1:15" ht="15.75">
      <c r="A121" s="28"/>
      <c r="B121" s="29" t="s">
        <v>80</v>
      </c>
      <c r="C121" s="86"/>
      <c r="D121" s="29"/>
      <c r="E121" s="29"/>
      <c r="F121" s="29"/>
      <c r="G121" s="29"/>
      <c r="H121" s="29"/>
      <c r="I121" s="29"/>
      <c r="J121" s="29"/>
      <c r="K121" s="29"/>
      <c r="L121" s="67">
        <f>L120+L119+L72+L73</f>
        <v>267486</v>
      </c>
      <c r="M121" s="29"/>
      <c r="N121" s="6"/>
      <c r="O121" s="72"/>
    </row>
    <row r="122" spans="1:14" ht="15.75">
      <c r="A122" s="28"/>
      <c r="B122" s="29" t="s">
        <v>81</v>
      </c>
      <c r="C122" s="86"/>
      <c r="D122" s="29"/>
      <c r="E122" s="29"/>
      <c r="F122" s="29"/>
      <c r="G122" s="29"/>
      <c r="H122" s="29"/>
      <c r="I122" s="29"/>
      <c r="J122" s="29"/>
      <c r="K122" s="29"/>
      <c r="L122" s="67">
        <f>L74</f>
        <v>251000</v>
      </c>
      <c r="M122" s="29"/>
      <c r="N122" s="6"/>
    </row>
    <row r="123" spans="1:14" ht="15.75">
      <c r="A123" s="28"/>
      <c r="B123" s="29"/>
      <c r="C123" s="29"/>
      <c r="D123" s="29"/>
      <c r="E123" s="29"/>
      <c r="F123" s="29"/>
      <c r="G123" s="29"/>
      <c r="H123" s="29"/>
      <c r="I123" s="29"/>
      <c r="J123" s="29"/>
      <c r="K123" s="29"/>
      <c r="L123" s="85"/>
      <c r="M123" s="29"/>
      <c r="N123" s="6"/>
    </row>
    <row r="124" spans="1:14" ht="15.75">
      <c r="A124" s="7"/>
      <c r="B124" s="165" t="s">
        <v>82</v>
      </c>
      <c r="C124" s="158"/>
      <c r="D124" s="158"/>
      <c r="E124" s="158"/>
      <c r="F124" s="158"/>
      <c r="G124" s="158"/>
      <c r="H124" s="159" t="s">
        <v>176</v>
      </c>
      <c r="I124" s="166"/>
      <c r="J124" s="159" t="s">
        <v>179</v>
      </c>
      <c r="K124" s="158"/>
      <c r="L124" s="167" t="s">
        <v>131</v>
      </c>
      <c r="M124" s="9"/>
      <c r="N124" s="6"/>
    </row>
    <row r="125" spans="1:14" ht="15.75">
      <c r="A125" s="28"/>
      <c r="B125" s="29" t="s">
        <v>83</v>
      </c>
      <c r="C125" s="29"/>
      <c r="D125" s="29"/>
      <c r="E125" s="29"/>
      <c r="F125" s="29"/>
      <c r="G125" s="29"/>
      <c r="H125" s="67">
        <v>0</v>
      </c>
      <c r="I125" s="29"/>
      <c r="J125" s="89" t="s">
        <v>180</v>
      </c>
      <c r="K125" s="29"/>
      <c r="L125" s="67">
        <f>H125</f>
        <v>0</v>
      </c>
      <c r="M125" s="29"/>
      <c r="N125" s="6"/>
    </row>
    <row r="126" spans="1:14" ht="15.75">
      <c r="A126" s="28"/>
      <c r="B126" s="29" t="s">
        <v>84</v>
      </c>
      <c r="C126" s="29"/>
      <c r="D126" s="29"/>
      <c r="E126" s="29"/>
      <c r="F126" s="29"/>
      <c r="G126" s="29"/>
      <c r="H126" s="67">
        <v>0</v>
      </c>
      <c r="I126" s="29"/>
      <c r="J126" s="89" t="s">
        <v>180</v>
      </c>
      <c r="K126" s="29"/>
      <c r="L126" s="67">
        <f>H126</f>
        <v>0</v>
      </c>
      <c r="M126" s="29"/>
      <c r="N126" s="6"/>
    </row>
    <row r="127" spans="1:14" ht="15.75">
      <c r="A127" s="28"/>
      <c r="B127" s="29" t="s">
        <v>85</v>
      </c>
      <c r="C127" s="29"/>
      <c r="D127" s="29"/>
      <c r="E127" s="29"/>
      <c r="F127" s="29"/>
      <c r="G127" s="29"/>
      <c r="H127" s="67">
        <v>0</v>
      </c>
      <c r="I127" s="29"/>
      <c r="J127" s="89" t="s">
        <v>180</v>
      </c>
      <c r="K127" s="29"/>
      <c r="L127" s="67">
        <f>H127</f>
        <v>0</v>
      </c>
      <c r="M127" s="29"/>
      <c r="N127" s="6"/>
    </row>
    <row r="128" spans="1:14" ht="15.75">
      <c r="A128" s="28"/>
      <c r="B128" s="29" t="s">
        <v>86</v>
      </c>
      <c r="C128" s="29"/>
      <c r="D128" s="29"/>
      <c r="E128" s="29"/>
      <c r="F128" s="29"/>
      <c r="G128" s="29"/>
      <c r="H128" s="67">
        <f>SUM(H126:H127)</f>
        <v>0</v>
      </c>
      <c r="I128" s="29"/>
      <c r="J128" s="89" t="s">
        <v>180</v>
      </c>
      <c r="K128" s="29"/>
      <c r="L128" s="67">
        <f>H128</f>
        <v>0</v>
      </c>
      <c r="M128" s="29"/>
      <c r="N128" s="6"/>
    </row>
    <row r="129" spans="1:14" ht="15.75">
      <c r="A129" s="28"/>
      <c r="B129" s="29" t="s">
        <v>87</v>
      </c>
      <c r="C129" s="29"/>
      <c r="D129" s="29"/>
      <c r="E129" s="29"/>
      <c r="F129" s="29"/>
      <c r="G129" s="29"/>
      <c r="H129" s="67">
        <f>H125-H128</f>
        <v>0</v>
      </c>
      <c r="I129" s="29"/>
      <c r="J129" s="89" t="s">
        <v>180</v>
      </c>
      <c r="K129" s="29"/>
      <c r="L129" s="67">
        <f>H129</f>
        <v>0</v>
      </c>
      <c r="M129" s="29"/>
      <c r="N129" s="6"/>
    </row>
    <row r="130" spans="1:14" ht="15.75">
      <c r="A130" s="28"/>
      <c r="B130" s="29"/>
      <c r="C130" s="29"/>
      <c r="D130" s="29"/>
      <c r="E130" s="29"/>
      <c r="F130" s="29"/>
      <c r="G130" s="29"/>
      <c r="H130" s="29"/>
      <c r="I130" s="29"/>
      <c r="J130" s="29"/>
      <c r="K130" s="29"/>
      <c r="L130" s="29"/>
      <c r="M130" s="29"/>
      <c r="N130" s="6"/>
    </row>
    <row r="131" spans="1:14" ht="15.75">
      <c r="A131" s="28"/>
      <c r="B131" s="32"/>
      <c r="C131" s="32"/>
      <c r="D131" s="32"/>
      <c r="E131" s="32"/>
      <c r="F131" s="32"/>
      <c r="G131" s="32"/>
      <c r="H131" s="32"/>
      <c r="I131" s="32"/>
      <c r="J131" s="32"/>
      <c r="K131" s="32"/>
      <c r="L131" s="32"/>
      <c r="M131" s="32"/>
      <c r="N131" s="6"/>
    </row>
    <row r="132" spans="1:14" ht="15.75">
      <c r="A132" s="90"/>
      <c r="B132" s="63" t="s">
        <v>88</v>
      </c>
      <c r="C132" s="91"/>
      <c r="D132" s="91"/>
      <c r="E132" s="91"/>
      <c r="F132" s="91"/>
      <c r="G132" s="21"/>
      <c r="H132" s="21"/>
      <c r="I132" s="21"/>
      <c r="J132" s="21">
        <v>37225</v>
      </c>
      <c r="K132" s="17"/>
      <c r="L132" s="17"/>
      <c r="M132" s="9"/>
      <c r="N132" s="6"/>
    </row>
    <row r="133" spans="1:14" ht="15.75">
      <c r="A133" s="92"/>
      <c r="B133" s="93" t="s">
        <v>89</v>
      </c>
      <c r="C133" s="94"/>
      <c r="D133" s="94"/>
      <c r="E133" s="94"/>
      <c r="F133" s="94"/>
      <c r="G133" s="95"/>
      <c r="H133" s="95"/>
      <c r="I133" s="95"/>
      <c r="J133" s="96">
        <v>0.1226</v>
      </c>
      <c r="K133" s="29"/>
      <c r="L133" s="29"/>
      <c r="M133" s="29"/>
      <c r="N133" s="6"/>
    </row>
    <row r="134" spans="1:14" ht="15.75">
      <c r="A134" s="92"/>
      <c r="B134" s="93" t="s">
        <v>90</v>
      </c>
      <c r="C134" s="94"/>
      <c r="D134" s="94"/>
      <c r="E134" s="94"/>
      <c r="F134" s="94"/>
      <c r="G134" s="95"/>
      <c r="H134" s="95"/>
      <c r="I134" s="95"/>
      <c r="J134" s="96">
        <v>0.0582</v>
      </c>
      <c r="K134" s="96"/>
      <c r="L134" s="29"/>
      <c r="M134" s="29"/>
      <c r="N134" s="6"/>
    </row>
    <row r="135" spans="1:14" ht="15.75">
      <c r="A135" s="92"/>
      <c r="B135" s="93" t="s">
        <v>91</v>
      </c>
      <c r="C135" s="94"/>
      <c r="D135" s="94"/>
      <c r="E135" s="94"/>
      <c r="F135" s="94"/>
      <c r="G135" s="95"/>
      <c r="H135" s="95"/>
      <c r="I135" s="95"/>
      <c r="J135" s="96">
        <f>J133-J134</f>
        <v>0.0644</v>
      </c>
      <c r="K135" s="29"/>
      <c r="L135" s="29"/>
      <c r="M135" s="29"/>
      <c r="N135" s="6"/>
    </row>
    <row r="136" spans="1:14" ht="15.75">
      <c r="A136" s="92"/>
      <c r="B136" s="93" t="s">
        <v>92</v>
      </c>
      <c r="C136" s="94"/>
      <c r="D136" s="94"/>
      <c r="E136" s="94"/>
      <c r="F136" s="94"/>
      <c r="G136" s="95"/>
      <c r="H136" s="95"/>
      <c r="I136" s="95"/>
      <c r="J136" s="96">
        <v>0.1264</v>
      </c>
      <c r="K136" s="29"/>
      <c r="L136" s="29"/>
      <c r="M136" s="29"/>
      <c r="N136" s="6"/>
    </row>
    <row r="137" spans="1:14" ht="15.75">
      <c r="A137" s="92"/>
      <c r="B137" s="93" t="s">
        <v>93</v>
      </c>
      <c r="C137" s="94"/>
      <c r="D137" s="94"/>
      <c r="E137" s="94"/>
      <c r="F137" s="94"/>
      <c r="G137" s="95"/>
      <c r="H137" s="95"/>
      <c r="I137" s="95"/>
      <c r="J137" s="96">
        <f>L32</f>
        <v>0.053517378884462154</v>
      </c>
      <c r="K137" s="29"/>
      <c r="L137" s="29"/>
      <c r="M137" s="29"/>
      <c r="N137" s="6"/>
    </row>
    <row r="138" spans="1:14" ht="15.75">
      <c r="A138" s="92"/>
      <c r="B138" s="93" t="s">
        <v>94</v>
      </c>
      <c r="C138" s="94"/>
      <c r="D138" s="94"/>
      <c r="E138" s="94"/>
      <c r="F138" s="94"/>
      <c r="G138" s="95"/>
      <c r="H138" s="95"/>
      <c r="I138" s="95"/>
      <c r="J138" s="96">
        <f>J136-J137</f>
        <v>0.07288262111553787</v>
      </c>
      <c r="K138" s="29"/>
      <c r="L138" s="29"/>
      <c r="M138" s="29"/>
      <c r="N138" s="6"/>
    </row>
    <row r="139" spans="1:14" ht="15.75">
      <c r="A139" s="92"/>
      <c r="B139" s="93" t="s">
        <v>95</v>
      </c>
      <c r="C139" s="94"/>
      <c r="D139" s="94"/>
      <c r="E139" s="94"/>
      <c r="F139" s="94"/>
      <c r="G139" s="95"/>
      <c r="H139" s="95"/>
      <c r="I139" s="95"/>
      <c r="J139" s="96" t="s">
        <v>181</v>
      </c>
      <c r="K139" s="29"/>
      <c r="L139" s="29"/>
      <c r="M139" s="29"/>
      <c r="N139" s="6"/>
    </row>
    <row r="140" spans="1:14" ht="15.75">
      <c r="A140" s="92"/>
      <c r="B140" s="93" t="s">
        <v>96</v>
      </c>
      <c r="C140" s="94"/>
      <c r="D140" s="94"/>
      <c r="E140" s="94"/>
      <c r="F140" s="94"/>
      <c r="G140" s="95"/>
      <c r="H140" s="95"/>
      <c r="I140" s="95"/>
      <c r="J140" s="96" t="s">
        <v>182</v>
      </c>
      <c r="K140" s="29"/>
      <c r="L140" s="29"/>
      <c r="M140" s="29"/>
      <c r="N140" s="6"/>
    </row>
    <row r="141" spans="1:14" ht="15.75">
      <c r="A141" s="92"/>
      <c r="B141" s="93" t="s">
        <v>97</v>
      </c>
      <c r="C141" s="94"/>
      <c r="D141" s="94"/>
      <c r="E141" s="94"/>
      <c r="F141" s="94"/>
      <c r="G141" s="95"/>
      <c r="H141" s="95"/>
      <c r="I141" s="95"/>
      <c r="J141" s="96" t="s">
        <v>183</v>
      </c>
      <c r="K141" s="29"/>
      <c r="L141" s="29"/>
      <c r="M141" s="29"/>
      <c r="N141" s="6"/>
    </row>
    <row r="142" spans="1:14" ht="15.75">
      <c r="A142" s="92"/>
      <c r="B142" s="93" t="s">
        <v>98</v>
      </c>
      <c r="C142" s="94"/>
      <c r="D142" s="94"/>
      <c r="E142" s="94"/>
      <c r="F142" s="94"/>
      <c r="G142" s="95"/>
      <c r="H142" s="95"/>
      <c r="I142" s="95"/>
      <c r="J142" s="97">
        <v>4.08</v>
      </c>
      <c r="K142" s="29"/>
      <c r="L142" s="29"/>
      <c r="M142" s="29"/>
      <c r="N142" s="6"/>
    </row>
    <row r="143" spans="1:14" ht="15.75">
      <c r="A143" s="92"/>
      <c r="B143" s="93" t="s">
        <v>99</v>
      </c>
      <c r="C143" s="94"/>
      <c r="D143" s="94"/>
      <c r="E143" s="94"/>
      <c r="F143" s="94"/>
      <c r="G143" s="95"/>
      <c r="H143" s="95"/>
      <c r="I143" s="95"/>
      <c r="J143" s="97">
        <v>5.23</v>
      </c>
      <c r="K143" s="29"/>
      <c r="L143" s="29"/>
      <c r="M143" s="29"/>
      <c r="N143" s="6"/>
    </row>
    <row r="144" spans="1:14" ht="15.75">
      <c r="A144" s="92"/>
      <c r="B144" s="93" t="s">
        <v>100</v>
      </c>
      <c r="C144" s="94"/>
      <c r="D144" s="94"/>
      <c r="E144" s="94"/>
      <c r="F144" s="94"/>
      <c r="G144" s="95"/>
      <c r="H144" s="95"/>
      <c r="I144" s="95"/>
      <c r="J144" s="96">
        <v>0.1304</v>
      </c>
      <c r="K144" s="29"/>
      <c r="L144" s="29"/>
      <c r="M144" s="29"/>
      <c r="N144" s="6"/>
    </row>
    <row r="145" spans="1:14" ht="15.75">
      <c r="A145" s="92"/>
      <c r="B145" s="93" t="s">
        <v>101</v>
      </c>
      <c r="C145" s="94"/>
      <c r="D145" s="94"/>
      <c r="E145" s="94"/>
      <c r="F145" s="94"/>
      <c r="G145" s="95"/>
      <c r="H145" s="95"/>
      <c r="I145" s="95"/>
      <c r="J145" s="96">
        <v>0.4442</v>
      </c>
      <c r="K145" s="29"/>
      <c r="L145" s="29"/>
      <c r="M145" s="29"/>
      <c r="N145" s="6"/>
    </row>
    <row r="146" spans="1:14" ht="15.75">
      <c r="A146" s="92"/>
      <c r="B146" s="93"/>
      <c r="C146" s="93"/>
      <c r="D146" s="93"/>
      <c r="E146" s="93"/>
      <c r="F146" s="93"/>
      <c r="G146" s="29"/>
      <c r="H146" s="29"/>
      <c r="I146" s="36"/>
      <c r="J146" s="98"/>
      <c r="K146" s="29"/>
      <c r="L146" s="99"/>
      <c r="M146" s="29"/>
      <c r="N146" s="6"/>
    </row>
    <row r="147" spans="1:14" ht="15.75">
      <c r="A147" s="90"/>
      <c r="B147" s="100"/>
      <c r="C147" s="100"/>
      <c r="D147" s="100"/>
      <c r="E147" s="100"/>
      <c r="F147" s="100"/>
      <c r="G147" s="9"/>
      <c r="H147" s="9"/>
      <c r="I147" s="22"/>
      <c r="J147" s="101"/>
      <c r="K147" s="9"/>
      <c r="L147" s="102"/>
      <c r="M147" s="9"/>
      <c r="N147" s="6"/>
    </row>
    <row r="148" spans="1:14" ht="16.5" thickBot="1">
      <c r="A148" s="150"/>
      <c r="B148" s="145" t="s">
        <v>191</v>
      </c>
      <c r="C148" s="151"/>
      <c r="D148" s="151"/>
      <c r="E148" s="151"/>
      <c r="F148" s="151"/>
      <c r="G148" s="146"/>
      <c r="H148" s="146"/>
      <c r="I148" s="152"/>
      <c r="J148" s="153"/>
      <c r="K148" s="146"/>
      <c r="L148" s="154"/>
      <c r="M148" s="148"/>
      <c r="N148" s="6"/>
    </row>
    <row r="149" spans="1:14" ht="15.75">
      <c r="A149" s="103"/>
      <c r="B149" s="104"/>
      <c r="C149" s="105"/>
      <c r="D149" s="106"/>
      <c r="E149" s="105"/>
      <c r="F149" s="106"/>
      <c r="G149" s="105"/>
      <c r="H149" s="106"/>
      <c r="I149" s="105"/>
      <c r="J149" s="106"/>
      <c r="K149" s="107"/>
      <c r="L149" s="107"/>
      <c r="M149" s="5"/>
      <c r="N149" s="6"/>
    </row>
    <row r="150" spans="1:14" ht="15.75">
      <c r="A150" s="108"/>
      <c r="B150" s="93" t="s">
        <v>103</v>
      </c>
      <c r="C150" s="68"/>
      <c r="D150" s="68"/>
      <c r="E150" s="68"/>
      <c r="F150" s="29"/>
      <c r="G150" s="29"/>
      <c r="H150" s="29"/>
      <c r="I150" s="29">
        <v>42</v>
      </c>
      <c r="J150" s="67">
        <v>401</v>
      </c>
      <c r="K150" s="67"/>
      <c r="L150" s="99"/>
      <c r="M150" s="109"/>
      <c r="N150" s="6"/>
    </row>
    <row r="151" spans="1:14" ht="15.75">
      <c r="A151" s="108"/>
      <c r="B151" s="93" t="s">
        <v>104</v>
      </c>
      <c r="C151" s="68"/>
      <c r="D151" s="68"/>
      <c r="E151" s="68"/>
      <c r="F151" s="29"/>
      <c r="G151" s="29"/>
      <c r="H151" s="29"/>
      <c r="I151" s="29">
        <v>1</v>
      </c>
      <c r="J151" s="67">
        <v>9</v>
      </c>
      <c r="K151" s="67"/>
      <c r="L151" s="99"/>
      <c r="M151" s="109"/>
      <c r="N151" s="6"/>
    </row>
    <row r="152" spans="1:14" ht="15.75">
      <c r="A152" s="108"/>
      <c r="B152" s="168" t="s">
        <v>105</v>
      </c>
      <c r="C152" s="68"/>
      <c r="D152" s="68"/>
      <c r="E152" s="68"/>
      <c r="F152" s="29"/>
      <c r="G152" s="29"/>
      <c r="H152" s="29"/>
      <c r="I152" s="29"/>
      <c r="J152" s="110">
        <v>0</v>
      </c>
      <c r="K152" s="29"/>
      <c r="L152" s="99"/>
      <c r="M152" s="109"/>
      <c r="N152" s="6"/>
    </row>
    <row r="153" spans="1:14" ht="15.75">
      <c r="A153" s="108"/>
      <c r="B153" s="168" t="s">
        <v>106</v>
      </c>
      <c r="C153" s="68"/>
      <c r="D153" s="68"/>
      <c r="E153" s="68"/>
      <c r="F153" s="29"/>
      <c r="G153" s="29"/>
      <c r="H153" s="29"/>
      <c r="I153" s="29"/>
      <c r="J153" s="67">
        <f>H67</f>
        <v>82808</v>
      </c>
      <c r="K153" s="29"/>
      <c r="L153" s="99"/>
      <c r="M153" s="109"/>
      <c r="N153" s="6"/>
    </row>
    <row r="154" spans="1:14" ht="15.75">
      <c r="A154" s="111"/>
      <c r="B154" s="168" t="s">
        <v>107</v>
      </c>
      <c r="C154" s="68"/>
      <c r="D154" s="93"/>
      <c r="E154" s="93"/>
      <c r="F154" s="93"/>
      <c r="G154" s="29"/>
      <c r="H154" s="29"/>
      <c r="I154" s="29"/>
      <c r="J154" s="112"/>
      <c r="K154" s="29"/>
      <c r="L154" s="99"/>
      <c r="M154" s="113"/>
      <c r="N154" s="6"/>
    </row>
    <row r="155" spans="1:14" ht="15.75">
      <c r="A155" s="108"/>
      <c r="B155" s="93" t="s">
        <v>108</v>
      </c>
      <c r="C155" s="68"/>
      <c r="D155" s="68"/>
      <c r="E155" s="68"/>
      <c r="F155" s="68"/>
      <c r="G155" s="29"/>
      <c r="H155" s="29"/>
      <c r="I155" s="29"/>
      <c r="J155" s="67">
        <f>L116</f>
        <v>2692</v>
      </c>
      <c r="K155" s="29"/>
      <c r="L155" s="99"/>
      <c r="M155" s="113"/>
      <c r="N155" s="6"/>
    </row>
    <row r="156" spans="1:14" ht="15.75">
      <c r="A156" s="108"/>
      <c r="B156" s="93" t="s">
        <v>109</v>
      </c>
      <c r="C156" s="68"/>
      <c r="D156" s="68"/>
      <c r="E156" s="68"/>
      <c r="F156" s="68"/>
      <c r="G156" s="29"/>
      <c r="H156" s="29"/>
      <c r="I156" s="29"/>
      <c r="J156" s="67">
        <f>L116+'Aug 01'!J155</f>
        <v>4931</v>
      </c>
      <c r="K156" s="29"/>
      <c r="L156" s="99"/>
      <c r="M156" s="113"/>
      <c r="N156" s="6"/>
    </row>
    <row r="157" spans="1:14" ht="15.75">
      <c r="A157" s="108"/>
      <c r="B157" s="93" t="s">
        <v>110</v>
      </c>
      <c r="C157" s="68"/>
      <c r="D157" s="68"/>
      <c r="E157" s="68"/>
      <c r="F157" s="68"/>
      <c r="G157" s="29"/>
      <c r="H157" s="29"/>
      <c r="I157" s="29"/>
      <c r="J157" s="67"/>
      <c r="K157" s="29"/>
      <c r="L157" s="99"/>
      <c r="M157" s="113"/>
      <c r="N157" s="6"/>
    </row>
    <row r="158" spans="1:14" ht="15.75">
      <c r="A158" s="108"/>
      <c r="B158" s="93"/>
      <c r="C158" s="68"/>
      <c r="D158" s="68"/>
      <c r="E158" s="68"/>
      <c r="F158" s="68"/>
      <c r="G158" s="29"/>
      <c r="H158" s="29"/>
      <c r="I158" s="29"/>
      <c r="J158" s="67"/>
      <c r="K158" s="29"/>
      <c r="L158" s="99"/>
      <c r="M158" s="113"/>
      <c r="N158" s="6"/>
    </row>
    <row r="159" spans="1:14" ht="15.75">
      <c r="A159" s="111"/>
      <c r="B159" s="168" t="s">
        <v>111</v>
      </c>
      <c r="C159" s="68"/>
      <c r="D159" s="93"/>
      <c r="E159" s="93"/>
      <c r="F159" s="93"/>
      <c r="G159" s="29"/>
      <c r="H159" s="29"/>
      <c r="I159" s="29"/>
      <c r="J159" s="89"/>
      <c r="K159" s="29"/>
      <c r="L159" s="99"/>
      <c r="M159" s="113"/>
      <c r="N159" s="6"/>
    </row>
    <row r="160" spans="1:14" ht="15.75">
      <c r="A160" s="111"/>
      <c r="B160" s="93" t="s">
        <v>112</v>
      </c>
      <c r="C160" s="68"/>
      <c r="D160" s="93"/>
      <c r="E160" s="93"/>
      <c r="F160" s="93"/>
      <c r="G160" s="29"/>
      <c r="H160" s="29"/>
      <c r="I160" s="29"/>
      <c r="J160" s="89">
        <v>0</v>
      </c>
      <c r="K160" s="29"/>
      <c r="L160" s="99"/>
      <c r="M160" s="113"/>
      <c r="N160" s="6"/>
    </row>
    <row r="161" spans="1:14" ht="15.75">
      <c r="A161" s="108"/>
      <c r="B161" s="93" t="s">
        <v>113</v>
      </c>
      <c r="C161" s="68"/>
      <c r="D161" s="114"/>
      <c r="E161" s="114"/>
      <c r="F161" s="115"/>
      <c r="G161" s="29"/>
      <c r="H161" s="29"/>
      <c r="I161" s="29"/>
      <c r="J161" s="89">
        <v>0</v>
      </c>
      <c r="K161" s="29"/>
      <c r="L161" s="99"/>
      <c r="M161" s="113"/>
      <c r="N161" s="6"/>
    </row>
    <row r="162" spans="1:14" ht="15.75">
      <c r="A162" s="108"/>
      <c r="B162" s="93" t="s">
        <v>114</v>
      </c>
      <c r="C162" s="68"/>
      <c r="D162" s="114"/>
      <c r="E162" s="114"/>
      <c r="F162" s="115"/>
      <c r="G162" s="29"/>
      <c r="H162" s="29"/>
      <c r="I162" s="29"/>
      <c r="J162" s="89">
        <v>0</v>
      </c>
      <c r="K162" s="29"/>
      <c r="L162" s="99"/>
      <c r="M162" s="113"/>
      <c r="N162" s="6"/>
    </row>
    <row r="163" spans="1:14" ht="15.75">
      <c r="A163" s="108"/>
      <c r="B163" s="93" t="s">
        <v>115</v>
      </c>
      <c r="C163" s="68"/>
      <c r="D163" s="116"/>
      <c r="E163" s="114"/>
      <c r="F163" s="115"/>
      <c r="G163" s="29"/>
      <c r="H163" s="29"/>
      <c r="I163" s="29"/>
      <c r="J163" s="89">
        <v>0</v>
      </c>
      <c r="K163" s="29"/>
      <c r="L163" s="99"/>
      <c r="M163" s="113"/>
      <c r="N163" s="6"/>
    </row>
    <row r="164" spans="1:14" ht="15.75">
      <c r="A164" s="108"/>
      <c r="B164" s="93"/>
      <c r="C164" s="68"/>
      <c r="D164" s="116"/>
      <c r="E164" s="114"/>
      <c r="F164" s="115"/>
      <c r="G164" s="29"/>
      <c r="H164" s="29"/>
      <c r="I164" s="29"/>
      <c r="J164" s="89"/>
      <c r="K164" s="29"/>
      <c r="L164" s="99"/>
      <c r="M164" s="113"/>
      <c r="N164" s="6"/>
    </row>
    <row r="165" spans="1:14" ht="15.75">
      <c r="A165" s="108"/>
      <c r="B165" s="168" t="s">
        <v>116</v>
      </c>
      <c r="C165" s="68"/>
      <c r="D165" s="68"/>
      <c r="E165" s="116"/>
      <c r="F165" s="114"/>
      <c r="G165" s="115"/>
      <c r="H165" s="29"/>
      <c r="I165" s="36"/>
      <c r="J165" s="36"/>
      <c r="K165" s="117"/>
      <c r="L165" s="36"/>
      <c r="M165" s="99"/>
      <c r="N165" s="6"/>
    </row>
    <row r="166" spans="1:14" ht="15.75">
      <c r="A166" s="108"/>
      <c r="B166" s="93" t="s">
        <v>117</v>
      </c>
      <c r="C166" s="68"/>
      <c r="D166" s="68"/>
      <c r="E166" s="116"/>
      <c r="F166" s="114"/>
      <c r="G166" s="115"/>
      <c r="H166" s="29"/>
      <c r="I166" s="36"/>
      <c r="J166" s="118">
        <v>1</v>
      </c>
      <c r="K166" s="118"/>
      <c r="L166" s="36"/>
      <c r="M166" s="99"/>
      <c r="N166" s="6"/>
    </row>
    <row r="167" spans="1:14" ht="15.75">
      <c r="A167" s="108"/>
      <c r="B167" s="93" t="s">
        <v>113</v>
      </c>
      <c r="C167" s="68"/>
      <c r="D167" s="68"/>
      <c r="E167" s="116"/>
      <c r="F167" s="114"/>
      <c r="G167" s="115"/>
      <c r="H167" s="29"/>
      <c r="I167" s="36"/>
      <c r="J167" s="118">
        <v>3</v>
      </c>
      <c r="K167" s="118"/>
      <c r="L167" s="36"/>
      <c r="M167" s="99"/>
      <c r="N167" s="6"/>
    </row>
    <row r="168" spans="1:14" ht="15.75">
      <c r="A168" s="108"/>
      <c r="B168" s="93" t="s">
        <v>118</v>
      </c>
      <c r="C168" s="68"/>
      <c r="D168" s="68"/>
      <c r="E168" s="116"/>
      <c r="F168" s="114"/>
      <c r="G168" s="115"/>
      <c r="H168" s="29"/>
      <c r="I168" s="36"/>
      <c r="J168" s="118">
        <v>11</v>
      </c>
      <c r="K168" s="118"/>
      <c r="L168" s="36"/>
      <c r="M168" s="99"/>
      <c r="N168" s="6"/>
    </row>
    <row r="169" spans="1:14" ht="15.75">
      <c r="A169" s="108"/>
      <c r="B169" s="93"/>
      <c r="C169" s="68"/>
      <c r="D169" s="116"/>
      <c r="E169" s="114"/>
      <c r="F169" s="115"/>
      <c r="G169" s="29"/>
      <c r="H169" s="29"/>
      <c r="I169" s="29"/>
      <c r="J169" s="89"/>
      <c r="K169" s="29"/>
      <c r="L169" s="99"/>
      <c r="M169" s="113"/>
      <c r="N169" s="6"/>
    </row>
    <row r="170" spans="1:14" ht="15.75">
      <c r="A170" s="28"/>
      <c r="B170" s="119" t="s">
        <v>119</v>
      </c>
      <c r="C170" s="120"/>
      <c r="D170" s="121"/>
      <c r="E170" s="120"/>
      <c r="F170" s="121"/>
      <c r="G170" s="120"/>
      <c r="H170" s="121"/>
      <c r="I170" s="120"/>
      <c r="J170" s="121"/>
      <c r="K170" s="120"/>
      <c r="L170" s="122"/>
      <c r="M170" s="113"/>
      <c r="N170" s="6"/>
    </row>
    <row r="171" spans="1:14" ht="15.75">
      <c r="A171" s="28"/>
      <c r="B171" s="33"/>
      <c r="C171" s="84"/>
      <c r="D171" s="119" t="s">
        <v>151</v>
      </c>
      <c r="E171" s="120"/>
      <c r="F171" s="121"/>
      <c r="G171" s="120"/>
      <c r="H171" s="119" t="s">
        <v>39</v>
      </c>
      <c r="I171" s="120"/>
      <c r="J171" s="121"/>
      <c r="K171" s="120"/>
      <c r="L171" s="122"/>
      <c r="M171" s="113"/>
      <c r="N171" s="6"/>
    </row>
    <row r="172" spans="1:14" ht="15.75">
      <c r="A172" s="28"/>
      <c r="B172" s="84"/>
      <c r="C172" s="121" t="s">
        <v>141</v>
      </c>
      <c r="D172" s="120" t="s">
        <v>152</v>
      </c>
      <c r="E172" s="121" t="s">
        <v>157</v>
      </c>
      <c r="F172" s="120" t="s">
        <v>152</v>
      </c>
      <c r="G172" s="120"/>
      <c r="H172" s="121" t="s">
        <v>141</v>
      </c>
      <c r="I172" s="120" t="s">
        <v>152</v>
      </c>
      <c r="J172" s="121" t="s">
        <v>157</v>
      </c>
      <c r="K172" s="120" t="s">
        <v>152</v>
      </c>
      <c r="L172" s="122"/>
      <c r="M172" s="113"/>
      <c r="N172" s="6"/>
    </row>
    <row r="173" spans="1:14" ht="15.75">
      <c r="A173" s="28"/>
      <c r="B173" s="68" t="s">
        <v>120</v>
      </c>
      <c r="C173" s="123">
        <f>451+9744</f>
        <v>10195</v>
      </c>
      <c r="D173" s="96">
        <f>C173/C177</f>
        <v>0.825773529888223</v>
      </c>
      <c r="E173" s="123">
        <f>3576+48395</f>
        <v>51971</v>
      </c>
      <c r="F173" s="96">
        <f>E173/E177</f>
        <v>0.7963805758592685</v>
      </c>
      <c r="G173" s="120"/>
      <c r="H173" s="123">
        <v>61263</v>
      </c>
      <c r="I173" s="96">
        <f>H173/H177</f>
        <v>0.9491664600892414</v>
      </c>
      <c r="J173" s="123">
        <v>45136</v>
      </c>
      <c r="K173" s="96">
        <f>J173/J177</f>
        <v>0.9385735080058224</v>
      </c>
      <c r="L173" s="122"/>
      <c r="M173" s="113"/>
      <c r="N173" s="6"/>
    </row>
    <row r="174" spans="1:14" ht="15.75">
      <c r="A174" s="28"/>
      <c r="B174" s="68" t="s">
        <v>121</v>
      </c>
      <c r="C174" s="123">
        <f>2+218</f>
        <v>220</v>
      </c>
      <c r="D174" s="96">
        <f>C174/$C$177</f>
        <v>0.017819536692046008</v>
      </c>
      <c r="E174" s="123">
        <f>7+986</f>
        <v>993</v>
      </c>
      <c r="F174" s="96">
        <f>E174/$E$177</f>
        <v>0.015216292005700363</v>
      </c>
      <c r="G174" s="120"/>
      <c r="H174" s="123">
        <v>568</v>
      </c>
      <c r="I174" s="96">
        <f>H174/$H$177</f>
        <v>0.00880019831432821</v>
      </c>
      <c r="J174" s="123">
        <v>460</v>
      </c>
      <c r="K174" s="96">
        <f>J174/$J$177</f>
        <v>0.009565398211686421</v>
      </c>
      <c r="L174" s="122"/>
      <c r="M174" s="113"/>
      <c r="N174" s="6"/>
    </row>
    <row r="175" spans="1:14" ht="15.75">
      <c r="A175" s="28"/>
      <c r="B175" s="68" t="s">
        <v>122</v>
      </c>
      <c r="C175" s="123">
        <v>182</v>
      </c>
      <c r="D175" s="96">
        <f>C175/$C$177</f>
        <v>0.014741616717965332</v>
      </c>
      <c r="E175" s="123">
        <v>891</v>
      </c>
      <c r="F175" s="96">
        <f>E175/$E$177</f>
        <v>0.01365328920148945</v>
      </c>
      <c r="G175" s="120"/>
      <c r="H175" s="123">
        <v>361</v>
      </c>
      <c r="I175" s="96">
        <f>H175/$H$177</f>
        <v>0.005593083787803669</v>
      </c>
      <c r="J175" s="123">
        <v>277</v>
      </c>
      <c r="K175" s="96">
        <f>J175/$J$177</f>
        <v>0.005760033270950302</v>
      </c>
      <c r="L175" s="122"/>
      <c r="M175" s="113"/>
      <c r="N175" s="6"/>
    </row>
    <row r="176" spans="1:14" ht="15.75">
      <c r="A176" s="28"/>
      <c r="B176" s="68" t="s">
        <v>123</v>
      </c>
      <c r="C176" s="123">
        <f>177+169+185+178+210+196+207+186+208+31+2</f>
        <v>1749</v>
      </c>
      <c r="D176" s="96">
        <f>C176/$C$177</f>
        <v>0.14166531670176574</v>
      </c>
      <c r="E176" s="123">
        <f>74960+3584-13285-E175-E174-E173</f>
        <v>11404</v>
      </c>
      <c r="F176" s="96">
        <f>E176/$E$177</f>
        <v>0.17474984293354173</v>
      </c>
      <c r="G176" s="120"/>
      <c r="H176" s="123">
        <v>2352</v>
      </c>
      <c r="I176" s="96">
        <f>H176/$H$177</f>
        <v>0.036440257808626676</v>
      </c>
      <c r="J176" s="123">
        <f>49502-1412-J175-J174-J173</f>
        <v>2217</v>
      </c>
      <c r="K176" s="96">
        <f>J176/$J$177</f>
        <v>0.04610106051154086</v>
      </c>
      <c r="L176" s="122"/>
      <c r="M176" s="113"/>
      <c r="N176" s="6"/>
    </row>
    <row r="177" spans="1:14" ht="15.75">
      <c r="A177" s="28"/>
      <c r="B177" s="68" t="s">
        <v>124</v>
      </c>
      <c r="C177" s="123">
        <f>SUM(C173:C176)</f>
        <v>12346</v>
      </c>
      <c r="D177" s="96">
        <f>SUM(D173:D176)</f>
        <v>1</v>
      </c>
      <c r="E177" s="123">
        <f>SUM(E173:E176)</f>
        <v>65259</v>
      </c>
      <c r="F177" s="96">
        <f>SUM(F173:F176)</f>
        <v>1</v>
      </c>
      <c r="G177" s="120"/>
      <c r="H177" s="123">
        <f>SUM(H173:H176)</f>
        <v>64544</v>
      </c>
      <c r="I177" s="96">
        <f>SUM(I173:I176)</f>
        <v>1</v>
      </c>
      <c r="J177" s="123">
        <f>SUM(J173:J176)</f>
        <v>48090</v>
      </c>
      <c r="K177" s="96">
        <f>SUM(K173:K176)</f>
        <v>1</v>
      </c>
      <c r="L177" s="122"/>
      <c r="M177" s="113"/>
      <c r="N177" s="6"/>
    </row>
    <row r="178" spans="1:14" ht="15.75">
      <c r="A178" s="28"/>
      <c r="B178" s="68" t="s">
        <v>125</v>
      </c>
      <c r="C178" s="123">
        <v>2021</v>
      </c>
      <c r="D178" s="124"/>
      <c r="E178" s="123">
        <v>13285</v>
      </c>
      <c r="F178" s="124"/>
      <c r="G178" s="120"/>
      <c r="H178" s="123">
        <v>1071</v>
      </c>
      <c r="I178" s="124"/>
      <c r="J178" s="123">
        <v>1412</v>
      </c>
      <c r="K178" s="124"/>
      <c r="L178" s="122"/>
      <c r="M178" s="113"/>
      <c r="N178" s="6"/>
    </row>
    <row r="179" spans="1:14" ht="15.75">
      <c r="A179" s="28"/>
      <c r="B179" s="68" t="s">
        <v>126</v>
      </c>
      <c r="C179" s="123">
        <f>SUM(C177:C178)</f>
        <v>14367</v>
      </c>
      <c r="D179" s="84"/>
      <c r="E179" s="123">
        <f>SUM(E177:E178)</f>
        <v>78544</v>
      </c>
      <c r="F179" s="96"/>
      <c r="G179" s="84"/>
      <c r="H179" s="123">
        <f>SUM(H177:H178)</f>
        <v>65615</v>
      </c>
      <c r="I179" s="84"/>
      <c r="J179" s="123">
        <f>SUM(J177:J178)</f>
        <v>49502</v>
      </c>
      <c r="K179" s="84"/>
      <c r="L179" s="84"/>
      <c r="M179" s="113"/>
      <c r="N179" s="6"/>
    </row>
    <row r="180" spans="1:14" ht="15.75">
      <c r="A180" s="28"/>
      <c r="B180" s="68"/>
      <c r="C180" s="123"/>
      <c r="D180" s="96"/>
      <c r="E180" s="123"/>
      <c r="F180" s="96"/>
      <c r="G180" s="120"/>
      <c r="H180" s="123"/>
      <c r="I180" s="96"/>
      <c r="J180" s="123"/>
      <c r="K180" s="96"/>
      <c r="L180" s="122"/>
      <c r="M180" s="113"/>
      <c r="N180" s="6"/>
    </row>
    <row r="181" spans="1:14" ht="15.75">
      <c r="A181" s="28"/>
      <c r="B181" s="68"/>
      <c r="C181" s="120"/>
      <c r="D181" s="119" t="s">
        <v>40</v>
      </c>
      <c r="E181" s="120"/>
      <c r="F181" s="125"/>
      <c r="G181" s="120"/>
      <c r="H181" s="119" t="s">
        <v>41</v>
      </c>
      <c r="I181" s="120"/>
      <c r="J181" s="121"/>
      <c r="K181" s="120"/>
      <c r="L181" s="122"/>
      <c r="M181" s="113"/>
      <c r="N181" s="6"/>
    </row>
    <row r="182" spans="1:14" ht="15.75">
      <c r="A182" s="28"/>
      <c r="B182" s="84"/>
      <c r="C182" s="121" t="s">
        <v>141</v>
      </c>
      <c r="D182" s="120" t="s">
        <v>152</v>
      </c>
      <c r="E182" s="121" t="s">
        <v>157</v>
      </c>
      <c r="F182" s="120" t="s">
        <v>152</v>
      </c>
      <c r="G182" s="120"/>
      <c r="H182" s="121" t="s">
        <v>141</v>
      </c>
      <c r="I182" s="120" t="s">
        <v>152</v>
      </c>
      <c r="J182" s="121" t="s">
        <v>157</v>
      </c>
      <c r="K182" s="120" t="s">
        <v>152</v>
      </c>
      <c r="L182" s="122"/>
      <c r="M182" s="113"/>
      <c r="N182" s="6"/>
    </row>
    <row r="183" spans="1:14" ht="15.75">
      <c r="A183" s="28"/>
      <c r="B183" s="68" t="s">
        <v>120</v>
      </c>
      <c r="C183" s="123">
        <v>4113</v>
      </c>
      <c r="D183" s="96">
        <f>C183/C187</f>
        <v>0.9804529201430274</v>
      </c>
      <c r="E183" s="123">
        <v>58095</v>
      </c>
      <c r="F183" s="96">
        <f>E183/E187</f>
        <v>0.9846943964202176</v>
      </c>
      <c r="G183" s="120"/>
      <c r="H183" s="123">
        <v>5554</v>
      </c>
      <c r="I183" s="96">
        <f>H183/H187</f>
        <v>0.9872022751510843</v>
      </c>
      <c r="J183" s="123">
        <v>37473</v>
      </c>
      <c r="K183" s="96">
        <f>J183/J187</f>
        <v>0.9875088939837141</v>
      </c>
      <c r="L183" s="122"/>
      <c r="M183" s="113"/>
      <c r="N183" s="6"/>
    </row>
    <row r="184" spans="1:14" ht="15.75">
      <c r="A184" s="28"/>
      <c r="B184" s="68" t="s">
        <v>121</v>
      </c>
      <c r="C184" s="123">
        <v>42</v>
      </c>
      <c r="D184" s="96">
        <f>C184/$C$187</f>
        <v>0.0100119189511323</v>
      </c>
      <c r="E184" s="123">
        <v>545</v>
      </c>
      <c r="F184" s="96">
        <f>E184/$E$187</f>
        <v>0.009237601274619478</v>
      </c>
      <c r="G184" s="120"/>
      <c r="H184" s="123">
        <v>22</v>
      </c>
      <c r="I184" s="96">
        <f>H184/$H$187</f>
        <v>0.0039104159260575895</v>
      </c>
      <c r="J184" s="123">
        <v>206</v>
      </c>
      <c r="K184" s="96">
        <f>J184/$J$187</f>
        <v>0.005428624133660105</v>
      </c>
      <c r="L184" s="122"/>
      <c r="M184" s="113"/>
      <c r="N184" s="6"/>
    </row>
    <row r="185" spans="1:14" ht="15.75">
      <c r="A185" s="28"/>
      <c r="B185" s="68" t="s">
        <v>122</v>
      </c>
      <c r="C185" s="123">
        <v>12</v>
      </c>
      <c r="D185" s="96">
        <f>C185/$C$187</f>
        <v>0.0028605482717520858</v>
      </c>
      <c r="E185" s="123">
        <v>134</v>
      </c>
      <c r="F185" s="96">
        <f>E185/$E$187</f>
        <v>0.0022712634326587343</v>
      </c>
      <c r="G185" s="120"/>
      <c r="H185" s="123">
        <v>7</v>
      </c>
      <c r="I185" s="96">
        <f>H185/$H$187</f>
        <v>0.001244223249200142</v>
      </c>
      <c r="J185" s="123">
        <v>69</v>
      </c>
      <c r="K185" s="96">
        <f>J185/$J$187</f>
        <v>0.0018183255593327535</v>
      </c>
      <c r="L185" s="122"/>
      <c r="M185" s="113"/>
      <c r="N185" s="6"/>
    </row>
    <row r="186" spans="1:14" ht="15.75">
      <c r="A186" s="28"/>
      <c r="B186" s="68" t="s">
        <v>123</v>
      </c>
      <c r="C186" s="123">
        <v>28</v>
      </c>
      <c r="D186" s="96">
        <f>C186/$C$187</f>
        <v>0.0066746126340882</v>
      </c>
      <c r="E186" s="123">
        <f>58998-E185-E184-E183</f>
        <v>224</v>
      </c>
      <c r="F186" s="96">
        <f>E186/$E$187</f>
        <v>0.0037967388725041527</v>
      </c>
      <c r="G186" s="120"/>
      <c r="H186" s="123">
        <v>43</v>
      </c>
      <c r="I186" s="96">
        <f>H186/$H$187</f>
        <v>0.0076430856736580165</v>
      </c>
      <c r="J186" s="123">
        <f>37947-J185-J184-J183</f>
        <v>199</v>
      </c>
      <c r="K186" s="96">
        <f>J186/$J$187</f>
        <v>0.005244156323293014</v>
      </c>
      <c r="L186" s="122"/>
      <c r="M186" s="113"/>
      <c r="N186" s="6"/>
    </row>
    <row r="187" spans="1:14" ht="15.75">
      <c r="A187" s="28"/>
      <c r="B187" s="68" t="str">
        <f>B177</f>
        <v>Total Performing  Assets</v>
      </c>
      <c r="C187" s="123">
        <f>SUM(C183:C186)</f>
        <v>4195</v>
      </c>
      <c r="D187" s="96">
        <f>SUM(D183:D186)</f>
        <v>1</v>
      </c>
      <c r="E187" s="123">
        <f>SUM(E183:E186)</f>
        <v>58998</v>
      </c>
      <c r="F187" s="96">
        <f>SUM(F183:F186)</f>
        <v>1</v>
      </c>
      <c r="G187" s="120"/>
      <c r="H187" s="123">
        <f>SUM(H183:H186)</f>
        <v>5626</v>
      </c>
      <c r="I187" s="96">
        <f>SUM(I183:I186)</f>
        <v>1</v>
      </c>
      <c r="J187" s="123">
        <f>SUM(J183:J186)</f>
        <v>37947</v>
      </c>
      <c r="K187" s="96">
        <f>SUM(K183:K186)</f>
        <v>0.9999999999999999</v>
      </c>
      <c r="L187" s="122"/>
      <c r="M187" s="113"/>
      <c r="N187" s="6"/>
    </row>
    <row r="188" spans="1:14" ht="15.75">
      <c r="A188" s="28"/>
      <c r="B188" s="68" t="s">
        <v>125</v>
      </c>
      <c r="C188" s="123">
        <v>0</v>
      </c>
      <c r="D188" s="126"/>
      <c r="E188" s="123">
        <v>0</v>
      </c>
      <c r="F188" s="124"/>
      <c r="G188" s="120"/>
      <c r="H188" s="123">
        <v>0</v>
      </c>
      <c r="I188" s="126"/>
      <c r="J188" s="123">
        <v>0</v>
      </c>
      <c r="K188" s="126"/>
      <c r="L188" s="122"/>
      <c r="M188" s="113"/>
      <c r="N188" s="6"/>
    </row>
    <row r="189" spans="1:14" ht="15.75">
      <c r="A189" s="28"/>
      <c r="B189" s="68" t="s">
        <v>126</v>
      </c>
      <c r="C189" s="123">
        <f>SUM(C187:C188)</f>
        <v>4195</v>
      </c>
      <c r="D189" s="84"/>
      <c r="E189" s="123">
        <f>SUM(E187:E188)</f>
        <v>58998</v>
      </c>
      <c r="F189" s="127"/>
      <c r="G189" s="84"/>
      <c r="H189" s="123">
        <f>SUM(H187:H188)</f>
        <v>5626</v>
      </c>
      <c r="I189" s="84"/>
      <c r="J189" s="123">
        <f>SUM(J187:J188)</f>
        <v>37947</v>
      </c>
      <c r="K189" s="84"/>
      <c r="L189" s="84"/>
      <c r="M189" s="84"/>
      <c r="N189" s="6"/>
    </row>
    <row r="190" spans="1:14" ht="15.75">
      <c r="A190" s="28"/>
      <c r="B190" s="68"/>
      <c r="C190" s="120"/>
      <c r="D190" s="121"/>
      <c r="E190" s="120"/>
      <c r="F190" s="121"/>
      <c r="G190" s="120"/>
      <c r="H190" s="128"/>
      <c r="I190" s="120"/>
      <c r="J190" s="123"/>
      <c r="K190" s="120"/>
      <c r="L190" s="122"/>
      <c r="M190" s="113"/>
      <c r="N190" s="6"/>
    </row>
    <row r="191" spans="1:14" ht="15.75">
      <c r="A191" s="28"/>
      <c r="B191" s="68" t="s">
        <v>126</v>
      </c>
      <c r="C191" s="120"/>
      <c r="D191" s="121"/>
      <c r="E191" s="120"/>
      <c r="F191" s="121"/>
      <c r="G191" s="120"/>
      <c r="H191" s="128"/>
      <c r="I191" s="126"/>
      <c r="J191" s="123">
        <f>E179+J179+E189+J189</f>
        <v>224991</v>
      </c>
      <c r="K191" s="127"/>
      <c r="L191" s="122"/>
      <c r="M191" s="113"/>
      <c r="N191" s="6"/>
    </row>
    <row r="192" spans="1:14" ht="15.75">
      <c r="A192" s="28"/>
      <c r="B192" s="68"/>
      <c r="C192" s="120"/>
      <c r="D192" s="121"/>
      <c r="E192" s="120"/>
      <c r="F192" s="121"/>
      <c r="G192" s="120"/>
      <c r="H192" s="121"/>
      <c r="I192" s="120"/>
      <c r="J192" s="123"/>
      <c r="K192" s="126"/>
      <c r="L192" s="122"/>
      <c r="M192" s="113"/>
      <c r="N192" s="6"/>
    </row>
    <row r="193" spans="1:14" ht="15.75">
      <c r="A193" s="28"/>
      <c r="B193" s="129" t="s">
        <v>127</v>
      </c>
      <c r="C193" s="120"/>
      <c r="D193" s="121"/>
      <c r="E193" s="120"/>
      <c r="F193" s="121"/>
      <c r="G193" s="120"/>
      <c r="H193" s="121"/>
      <c r="I193" s="120"/>
      <c r="J193" s="123"/>
      <c r="K193" s="120"/>
      <c r="L193" s="122"/>
      <c r="M193" s="113"/>
      <c r="N193" s="6"/>
    </row>
    <row r="194" spans="1:14" ht="15.75">
      <c r="A194" s="28"/>
      <c r="B194" s="68"/>
      <c r="C194" s="120"/>
      <c r="D194" s="121"/>
      <c r="E194" s="120"/>
      <c r="F194" s="121"/>
      <c r="G194" s="120"/>
      <c r="H194" s="121"/>
      <c r="I194" s="120"/>
      <c r="J194" s="123"/>
      <c r="K194" s="120"/>
      <c r="L194" s="122"/>
      <c r="M194" s="113"/>
      <c r="N194" s="6"/>
    </row>
    <row r="195" spans="1:14" ht="15.75">
      <c r="A195" s="28"/>
      <c r="B195" s="68" t="s">
        <v>128</v>
      </c>
      <c r="C195" s="120"/>
      <c r="D195" s="121"/>
      <c r="E195" s="120"/>
      <c r="F195" s="121"/>
      <c r="G195" s="120"/>
      <c r="H195" s="121"/>
      <c r="I195" s="120"/>
      <c r="J195" s="123">
        <f>J187+E187+J177+E177</f>
        <v>210294</v>
      </c>
      <c r="K195" s="120"/>
      <c r="L195" s="122"/>
      <c r="M195" s="113"/>
      <c r="N195" s="6"/>
    </row>
    <row r="196" spans="1:14" ht="15.75">
      <c r="A196" s="28"/>
      <c r="B196" s="68" t="s">
        <v>129</v>
      </c>
      <c r="C196" s="120"/>
      <c r="D196" s="121"/>
      <c r="E196" s="120"/>
      <c r="F196" s="121"/>
      <c r="G196" s="120"/>
      <c r="H196" s="121"/>
      <c r="I196" s="120"/>
      <c r="J196" s="123">
        <f>L93</f>
        <v>42495</v>
      </c>
      <c r="K196" s="120"/>
      <c r="L196" s="122"/>
      <c r="M196" s="113"/>
      <c r="N196" s="6"/>
    </row>
    <row r="197" spans="1:14" ht="15.75">
      <c r="A197" s="28"/>
      <c r="B197" s="68" t="s">
        <v>130</v>
      </c>
      <c r="C197" s="120"/>
      <c r="D197" s="121"/>
      <c r="E197" s="120"/>
      <c r="F197" s="121"/>
      <c r="G197" s="120"/>
      <c r="H197" s="121"/>
      <c r="I197" s="120"/>
      <c r="J197" s="123">
        <v>-1789</v>
      </c>
      <c r="K197" s="120"/>
      <c r="L197" s="122"/>
      <c r="M197" s="113"/>
      <c r="N197" s="6"/>
    </row>
    <row r="198" spans="1:14" ht="15.75">
      <c r="A198" s="28"/>
      <c r="B198" s="68" t="s">
        <v>131</v>
      </c>
      <c r="C198" s="120"/>
      <c r="D198" s="121"/>
      <c r="E198" s="120"/>
      <c r="F198" s="121"/>
      <c r="G198" s="120"/>
      <c r="H198" s="121"/>
      <c r="I198" s="120"/>
      <c r="J198" s="123">
        <f>SUM(J195:J197)</f>
        <v>251000</v>
      </c>
      <c r="K198" s="120"/>
      <c r="L198" s="122"/>
      <c r="M198" s="113"/>
      <c r="N198" s="6"/>
    </row>
    <row r="199" spans="1:14" ht="15.75">
      <c r="A199" s="28"/>
      <c r="B199" s="68"/>
      <c r="C199" s="120"/>
      <c r="D199" s="121"/>
      <c r="E199" s="120"/>
      <c r="F199" s="121"/>
      <c r="G199" s="120"/>
      <c r="H199" s="121"/>
      <c r="I199" s="120"/>
      <c r="J199" s="123"/>
      <c r="K199" s="120"/>
      <c r="L199" s="122"/>
      <c r="M199" s="113"/>
      <c r="N199" s="6"/>
    </row>
    <row r="200" spans="1:14" ht="15.75">
      <c r="A200" s="28"/>
      <c r="B200" s="68" t="s">
        <v>132</v>
      </c>
      <c r="C200" s="120"/>
      <c r="D200" s="121"/>
      <c r="E200" s="120"/>
      <c r="F200" s="121"/>
      <c r="G200" s="120"/>
      <c r="H200" s="121"/>
      <c r="I200" s="120"/>
      <c r="J200" s="123">
        <f>L30</f>
        <v>251000</v>
      </c>
      <c r="K200" s="120"/>
      <c r="L200" s="122"/>
      <c r="M200" s="113"/>
      <c r="N200" s="6"/>
    </row>
    <row r="201" spans="1:14" ht="15.75">
      <c r="A201" s="28"/>
      <c r="B201" s="68"/>
      <c r="C201" s="120"/>
      <c r="D201" s="121"/>
      <c r="E201" s="120"/>
      <c r="F201" s="121"/>
      <c r="G201" s="120"/>
      <c r="H201" s="121"/>
      <c r="I201" s="120"/>
      <c r="J201" s="123"/>
      <c r="K201" s="120"/>
      <c r="L201" s="122"/>
      <c r="M201" s="113"/>
      <c r="N201" s="6"/>
    </row>
    <row r="202" spans="1:14" ht="15.75">
      <c r="A202" s="28"/>
      <c r="B202" s="68" t="s">
        <v>133</v>
      </c>
      <c r="C202" s="120"/>
      <c r="D202" s="121"/>
      <c r="E202" s="120"/>
      <c r="F202" s="121"/>
      <c r="G202" s="120"/>
      <c r="H202" s="121"/>
      <c r="I202" s="120"/>
      <c r="J202" s="123">
        <f>J198/J200</f>
        <v>1</v>
      </c>
      <c r="K202" s="120"/>
      <c r="L202" s="122"/>
      <c r="M202" s="113"/>
      <c r="N202" s="6"/>
    </row>
    <row r="203" spans="1:14" ht="15.75">
      <c r="A203" s="28"/>
      <c r="B203" s="29"/>
      <c r="C203" s="29"/>
      <c r="D203" s="36"/>
      <c r="E203" s="29"/>
      <c r="F203" s="29"/>
      <c r="G203" s="29"/>
      <c r="H203" s="66"/>
      <c r="I203" s="130"/>
      <c r="J203" s="67"/>
      <c r="K203" s="130"/>
      <c r="L203" s="99"/>
      <c r="M203" s="29"/>
      <c r="N203" s="6"/>
    </row>
    <row r="204" spans="1:14" ht="15.75">
      <c r="A204" s="131"/>
      <c r="B204" s="33" t="s">
        <v>134</v>
      </c>
      <c r="C204" s="132"/>
      <c r="D204" s="120" t="s">
        <v>153</v>
      </c>
      <c r="E204" s="122"/>
      <c r="F204" s="33" t="s">
        <v>166</v>
      </c>
      <c r="G204" s="133"/>
      <c r="H204" s="133"/>
      <c r="I204" s="133"/>
      <c r="J204" s="134"/>
      <c r="K204" s="32"/>
      <c r="L204" s="32"/>
      <c r="M204" s="32"/>
      <c r="N204" s="6"/>
    </row>
    <row r="205" spans="1:14" ht="15.75">
      <c r="A205" s="135"/>
      <c r="B205" s="15" t="s">
        <v>135</v>
      </c>
      <c r="C205" s="136"/>
      <c r="D205" s="137" t="s">
        <v>154</v>
      </c>
      <c r="E205" s="15"/>
      <c r="F205" s="15" t="s">
        <v>167</v>
      </c>
      <c r="G205" s="136"/>
      <c r="H205" s="136"/>
      <c r="I205" s="14"/>
      <c r="J205" s="14"/>
      <c r="K205" s="14"/>
      <c r="L205" s="14"/>
      <c r="M205" s="14"/>
      <c r="N205" s="6"/>
    </row>
    <row r="206" spans="1:14" ht="15.75">
      <c r="A206" s="135"/>
      <c r="B206" s="15" t="s">
        <v>136</v>
      </c>
      <c r="C206" s="136"/>
      <c r="D206" s="137" t="s">
        <v>155</v>
      </c>
      <c r="E206" s="15"/>
      <c r="F206" s="15" t="s">
        <v>168</v>
      </c>
      <c r="G206" s="136"/>
      <c r="H206" s="136"/>
      <c r="I206" s="14"/>
      <c r="J206" s="14"/>
      <c r="K206" s="14"/>
      <c r="L206" s="14"/>
      <c r="M206" s="14"/>
      <c r="N206" s="6"/>
    </row>
    <row r="207" spans="1:14" ht="15.75">
      <c r="A207" s="135"/>
      <c r="B207" s="15"/>
      <c r="C207" s="136"/>
      <c r="D207" s="137"/>
      <c r="E207" s="15"/>
      <c r="F207" s="15"/>
      <c r="G207" s="136"/>
      <c r="H207" s="136"/>
      <c r="I207" s="14"/>
      <c r="J207" s="14"/>
      <c r="K207" s="14"/>
      <c r="L207" s="14"/>
      <c r="M207" s="14"/>
      <c r="N207" s="6"/>
    </row>
    <row r="208" spans="1:14" ht="15.75">
      <c r="A208" s="135"/>
      <c r="B208" s="15"/>
      <c r="C208" s="136"/>
      <c r="D208" s="137"/>
      <c r="E208" s="15"/>
      <c r="F208" s="15"/>
      <c r="G208" s="136"/>
      <c r="H208" s="136"/>
      <c r="I208" s="14"/>
      <c r="J208" s="14"/>
      <c r="K208" s="14"/>
      <c r="L208" s="14"/>
      <c r="M208" s="14"/>
      <c r="N208" s="6"/>
    </row>
    <row r="209" spans="1:14" ht="15.75">
      <c r="A209" s="135"/>
      <c r="B209" s="15" t="s">
        <v>191</v>
      </c>
      <c r="C209" s="136"/>
      <c r="D209" s="137"/>
      <c r="E209" s="15"/>
      <c r="F209" s="15"/>
      <c r="G209" s="136"/>
      <c r="H209" s="136"/>
      <c r="I209" s="14"/>
      <c r="J209" s="14"/>
      <c r="K209" s="14"/>
      <c r="L209" s="14"/>
      <c r="M209" s="14"/>
      <c r="N209" s="6"/>
    </row>
    <row r="210" spans="1:13" ht="15">
      <c r="A210" s="138"/>
      <c r="B210" s="138"/>
      <c r="C210" s="138"/>
      <c r="D210" s="138"/>
      <c r="E210" s="138"/>
      <c r="F210" s="138"/>
      <c r="G210" s="138"/>
      <c r="H210" s="138"/>
      <c r="I210" s="138"/>
      <c r="J210" s="138"/>
      <c r="K210" s="138"/>
      <c r="L210" s="138"/>
      <c r="M210" s="138"/>
    </row>
  </sheetData>
  <printOptions horizontalCentered="1" verticalCentered="1"/>
  <pageMargins left="0.2362204724409449" right="0.4330708661417323" top="0.2362204724409449" bottom="0.7480314960629921" header="0" footer="0"/>
  <pageSetup horizontalDpi="600" verticalDpi="600" orientation="landscape" paperSize="9" scale="50" r:id="rId2"/>
  <rowBreaks count="4" manualBreakCount="4">
    <brk id="50" max="13" man="1"/>
    <brk id="97" max="13" man="1"/>
    <brk id="148" max="13" man="1"/>
    <brk id="210" max="0" man="1"/>
  </rowBreaks>
  <drawing r:id="rId1"/>
</worksheet>
</file>

<file path=xl/worksheets/sheet3.xml><?xml version="1.0" encoding="utf-8"?>
<worksheet xmlns="http://schemas.openxmlformats.org/spreadsheetml/2006/main" xmlns:r="http://schemas.openxmlformats.org/officeDocument/2006/relationships">
  <dimension ref="A1:O210"/>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1.6640625" style="1" customWidth="1"/>
    <col min="3" max="3" width="12.6640625" style="1" customWidth="1"/>
    <col min="4" max="4" width="14.6640625" style="1" customWidth="1"/>
    <col min="5" max="5" width="11.6640625" style="1" customWidth="1"/>
    <col min="6" max="6" width="14.6640625" style="1" customWidth="1"/>
    <col min="7" max="7" width="7.6640625" style="1" customWidth="1"/>
    <col min="8" max="8" width="13.6640625" style="1" customWidth="1"/>
    <col min="9" max="9" width="7.5546875" style="1" customWidth="1"/>
    <col min="10" max="10" width="13.6640625" style="1" customWidth="1"/>
    <col min="11" max="11" width="7.77734375" style="1" customWidth="1"/>
    <col min="12" max="12" width="15.6640625" style="1" customWidth="1"/>
    <col min="13" max="13" width="16.886718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8"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2" t="s">
        <v>2</v>
      </c>
      <c r="C5" s="13"/>
      <c r="D5" s="9"/>
      <c r="E5" s="9"/>
      <c r="F5" s="9"/>
      <c r="G5" s="9"/>
      <c r="H5" s="9"/>
      <c r="I5" s="9"/>
      <c r="J5" s="9"/>
      <c r="K5" s="9"/>
      <c r="L5" s="9"/>
      <c r="M5" s="9"/>
      <c r="N5" s="6"/>
    </row>
    <row r="6" spans="1:14" ht="15.75">
      <c r="A6" s="7"/>
      <c r="B6" s="12" t="s">
        <v>3</v>
      </c>
      <c r="C6" s="13"/>
      <c r="D6" s="9"/>
      <c r="E6" s="9"/>
      <c r="F6" s="9"/>
      <c r="G6" s="9"/>
      <c r="H6" s="9"/>
      <c r="I6" s="9"/>
      <c r="J6" s="9"/>
      <c r="K6" s="9"/>
      <c r="L6" s="9"/>
      <c r="M6" s="9"/>
      <c r="N6" s="6"/>
    </row>
    <row r="7" spans="1:14" ht="15.75">
      <c r="A7" s="7"/>
      <c r="B7" s="12" t="s">
        <v>4</v>
      </c>
      <c r="C7" s="13"/>
      <c r="D7" s="9"/>
      <c r="E7" s="9"/>
      <c r="F7" s="9"/>
      <c r="G7" s="9"/>
      <c r="H7" s="9"/>
      <c r="I7" s="9"/>
      <c r="J7" s="9"/>
      <c r="K7" s="9"/>
      <c r="L7" s="9"/>
      <c r="M7" s="9"/>
      <c r="N7" s="6"/>
    </row>
    <row r="8" spans="1:14" ht="15.75">
      <c r="A8" s="7"/>
      <c r="B8" s="14"/>
      <c r="C8" s="13"/>
      <c r="D8" s="9"/>
      <c r="E8" s="9"/>
      <c r="F8" s="9"/>
      <c r="G8" s="9"/>
      <c r="H8" s="9"/>
      <c r="I8" s="9"/>
      <c r="J8" s="9"/>
      <c r="K8" s="9"/>
      <c r="L8" s="9"/>
      <c r="M8" s="9"/>
      <c r="N8" s="6"/>
    </row>
    <row r="9" spans="1:14" ht="15.75">
      <c r="A9" s="7"/>
      <c r="B9" s="13"/>
      <c r="C9" s="13"/>
      <c r="D9" s="15"/>
      <c r="E9" s="15"/>
      <c r="F9" s="9"/>
      <c r="G9" s="9"/>
      <c r="H9" s="9"/>
      <c r="I9" s="9"/>
      <c r="J9" s="9"/>
      <c r="K9" s="9"/>
      <c r="L9" s="9"/>
      <c r="M9" s="9"/>
      <c r="N9" s="6"/>
    </row>
    <row r="10" spans="1:14" ht="15.75">
      <c r="A10" s="7"/>
      <c r="B10" s="15" t="s">
        <v>5</v>
      </c>
      <c r="C10" s="15"/>
      <c r="D10" s="9"/>
      <c r="E10" s="9"/>
      <c r="F10" s="9"/>
      <c r="G10" s="9"/>
      <c r="H10" s="9"/>
      <c r="I10" s="9"/>
      <c r="J10" s="9"/>
      <c r="K10" s="9"/>
      <c r="L10" s="9"/>
      <c r="M10" s="9"/>
      <c r="N10" s="6"/>
    </row>
    <row r="11" spans="1:14" ht="15.75">
      <c r="A11" s="7"/>
      <c r="B11" s="15"/>
      <c r="C11" s="15"/>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6" t="s">
        <v>6</v>
      </c>
      <c r="C13" s="16"/>
      <c r="D13" s="17"/>
      <c r="E13" s="17"/>
      <c r="F13" s="17"/>
      <c r="G13" s="17"/>
      <c r="H13" s="17"/>
      <c r="I13" s="17"/>
      <c r="J13" s="17"/>
      <c r="K13" s="17"/>
      <c r="L13" s="18" t="s">
        <v>186</v>
      </c>
      <c r="M13" s="9"/>
      <c r="N13" s="6"/>
    </row>
    <row r="14" spans="1:14" ht="15.75">
      <c r="A14" s="7"/>
      <c r="B14" s="16" t="s">
        <v>7</v>
      </c>
      <c r="C14" s="16"/>
      <c r="D14" s="19" t="s">
        <v>140</v>
      </c>
      <c r="E14" s="20">
        <v>0.348</v>
      </c>
      <c r="F14" s="19" t="s">
        <v>150</v>
      </c>
      <c r="G14" s="20">
        <v>0.229</v>
      </c>
      <c r="H14" s="19" t="s">
        <v>156</v>
      </c>
      <c r="I14" s="20">
        <v>0.098</v>
      </c>
      <c r="J14" s="19" t="s">
        <v>165</v>
      </c>
      <c r="K14" s="20">
        <v>0.1</v>
      </c>
      <c r="L14" s="18"/>
      <c r="M14" s="17"/>
      <c r="N14" s="6"/>
    </row>
    <row r="15" spans="1:14" ht="15.75">
      <c r="A15" s="7"/>
      <c r="B15" s="16" t="s">
        <v>8</v>
      </c>
      <c r="C15" s="16"/>
      <c r="D15" s="19" t="s">
        <v>140</v>
      </c>
      <c r="E15" s="20">
        <f>E177/($J$195+$L$93)</f>
        <v>0.2577169101503626</v>
      </c>
      <c r="F15" s="19" t="s">
        <v>150</v>
      </c>
      <c r="G15" s="20">
        <f>J177/($J$195+$L$93)</f>
        <v>0.16834988864230643</v>
      </c>
      <c r="H15" s="19" t="s">
        <v>156</v>
      </c>
      <c r="I15" s="20">
        <f>E187/($J$195+$L$93)</f>
        <v>0.2501493340295662</v>
      </c>
      <c r="J15" s="19" t="s">
        <v>165</v>
      </c>
      <c r="K15" s="20">
        <f>J187/($J$195+$L$93)</f>
        <v>0.1843671995221311</v>
      </c>
      <c r="L15" s="18"/>
      <c r="M15" s="17"/>
      <c r="N15" s="6"/>
    </row>
    <row r="16" spans="1:14" ht="15.75">
      <c r="A16" s="7"/>
      <c r="B16" s="16" t="s">
        <v>9</v>
      </c>
      <c r="C16" s="16"/>
      <c r="D16" s="17"/>
      <c r="E16" s="17"/>
      <c r="F16" s="17"/>
      <c r="G16" s="17"/>
      <c r="H16" s="17"/>
      <c r="I16" s="17"/>
      <c r="J16" s="17"/>
      <c r="K16" s="17"/>
      <c r="L16" s="178">
        <v>37070</v>
      </c>
      <c r="M16" s="9"/>
      <c r="N16" s="6"/>
    </row>
    <row r="17" spans="1:14" ht="15.75">
      <c r="A17" s="7"/>
      <c r="B17" s="16" t="s">
        <v>10</v>
      </c>
      <c r="C17" s="16"/>
      <c r="D17" s="17"/>
      <c r="E17" s="17"/>
      <c r="F17" s="17"/>
      <c r="G17" s="17"/>
      <c r="H17" s="17"/>
      <c r="I17" s="17"/>
      <c r="J17" s="17"/>
      <c r="K17" s="17"/>
      <c r="L17" s="21">
        <v>37333</v>
      </c>
      <c r="M17" s="9"/>
      <c r="N17" s="6"/>
    </row>
    <row r="18" spans="1:14" ht="15.75">
      <c r="A18" s="7"/>
      <c r="B18" s="9"/>
      <c r="C18" s="9"/>
      <c r="D18" s="9"/>
      <c r="E18" s="9"/>
      <c r="F18" s="9"/>
      <c r="G18" s="9"/>
      <c r="H18" s="9"/>
      <c r="I18" s="9"/>
      <c r="J18" s="9"/>
      <c r="K18" s="9"/>
      <c r="L18" s="22"/>
      <c r="M18" s="9"/>
      <c r="N18" s="6"/>
    </row>
    <row r="19" spans="1:14" ht="15.75">
      <c r="A19" s="7"/>
      <c r="B19" s="23" t="s">
        <v>11</v>
      </c>
      <c r="C19" s="9"/>
      <c r="D19" s="9"/>
      <c r="E19" s="9"/>
      <c r="F19" s="9"/>
      <c r="G19" s="9"/>
      <c r="H19" s="9"/>
      <c r="I19" s="9"/>
      <c r="J19" s="22"/>
      <c r="K19" s="9"/>
      <c r="L19" s="14"/>
      <c r="M19" s="9"/>
      <c r="N19" s="6"/>
    </row>
    <row r="20" spans="1:14" ht="15.75">
      <c r="A20" s="7"/>
      <c r="B20" s="9"/>
      <c r="C20" s="9"/>
      <c r="D20" s="9"/>
      <c r="E20" s="9"/>
      <c r="F20" s="9"/>
      <c r="G20" s="9"/>
      <c r="H20" s="9"/>
      <c r="I20" s="9"/>
      <c r="J20" s="9"/>
      <c r="K20" s="9"/>
      <c r="L20" s="24"/>
      <c r="M20" s="9"/>
      <c r="N20" s="6"/>
    </row>
    <row r="21" spans="1:14" ht="15.75">
      <c r="A21" s="7"/>
      <c r="B21" s="9"/>
      <c r="C21" s="159" t="s">
        <v>137</v>
      </c>
      <c r="D21" s="161" t="s">
        <v>142</v>
      </c>
      <c r="E21" s="161"/>
      <c r="F21" s="161" t="s">
        <v>158</v>
      </c>
      <c r="G21" s="161"/>
      <c r="H21" s="161" t="s">
        <v>169</v>
      </c>
      <c r="I21" s="161"/>
      <c r="J21" s="27"/>
      <c r="K21" s="14"/>
      <c r="L21" s="14"/>
      <c r="M21" s="9"/>
      <c r="N21" s="6"/>
    </row>
    <row r="22" spans="1:14" ht="15.75">
      <c r="A22" s="28"/>
      <c r="B22" s="29" t="s">
        <v>12</v>
      </c>
      <c r="C22" s="160" t="s">
        <v>138</v>
      </c>
      <c r="D22" s="31" t="s">
        <v>143</v>
      </c>
      <c r="E22" s="31"/>
      <c r="F22" s="31" t="s">
        <v>159</v>
      </c>
      <c r="G22" s="31"/>
      <c r="H22" s="31" t="s">
        <v>170</v>
      </c>
      <c r="I22" s="31"/>
      <c r="J22" s="31"/>
      <c r="K22" s="32"/>
      <c r="L22" s="32"/>
      <c r="M22" s="29"/>
      <c r="N22" s="6"/>
    </row>
    <row r="23" spans="1:14" ht="15.75">
      <c r="A23" s="28"/>
      <c r="B23" s="29" t="s">
        <v>13</v>
      </c>
      <c r="C23" s="30"/>
      <c r="D23" s="31" t="s">
        <v>144</v>
      </c>
      <c r="E23" s="31"/>
      <c r="F23" s="31" t="s">
        <v>160</v>
      </c>
      <c r="G23" s="31"/>
      <c r="H23" s="31" t="s">
        <v>171</v>
      </c>
      <c r="I23" s="31"/>
      <c r="J23" s="31"/>
      <c r="K23" s="32"/>
      <c r="L23" s="32"/>
      <c r="M23" s="29"/>
      <c r="N23" s="6"/>
    </row>
    <row r="24" spans="1:14" ht="15.75">
      <c r="A24" s="28"/>
      <c r="B24" s="33" t="s">
        <v>14</v>
      </c>
      <c r="C24" s="33"/>
      <c r="D24" s="34" t="s">
        <v>143</v>
      </c>
      <c r="E24" s="34"/>
      <c r="F24" s="34" t="s">
        <v>159</v>
      </c>
      <c r="G24" s="34"/>
      <c r="H24" s="34" t="s">
        <v>170</v>
      </c>
      <c r="I24" s="34"/>
      <c r="J24" s="34"/>
      <c r="K24" s="35"/>
      <c r="L24" s="32"/>
      <c r="M24" s="29"/>
      <c r="N24" s="6"/>
    </row>
    <row r="25" spans="1:14" ht="15.75">
      <c r="A25" s="28"/>
      <c r="B25" s="33" t="s">
        <v>15</v>
      </c>
      <c r="C25" s="33"/>
      <c r="D25" s="34" t="s">
        <v>144</v>
      </c>
      <c r="E25" s="34"/>
      <c r="F25" s="34" t="s">
        <v>160</v>
      </c>
      <c r="G25" s="34"/>
      <c r="H25" s="34" t="s">
        <v>171</v>
      </c>
      <c r="I25" s="34"/>
      <c r="J25" s="34"/>
      <c r="K25" s="35"/>
      <c r="L25" s="32"/>
      <c r="M25" s="29"/>
      <c r="N25" s="6"/>
    </row>
    <row r="26" spans="1:14" ht="15.75">
      <c r="A26" s="28"/>
      <c r="B26" s="29" t="s">
        <v>16</v>
      </c>
      <c r="C26" s="29"/>
      <c r="D26" s="36" t="s">
        <v>145</v>
      </c>
      <c r="E26" s="31"/>
      <c r="F26" s="36" t="s">
        <v>161</v>
      </c>
      <c r="G26" s="31"/>
      <c r="H26" s="36" t="s">
        <v>172</v>
      </c>
      <c r="I26" s="31"/>
      <c r="J26" s="36"/>
      <c r="K26" s="32"/>
      <c r="L26" s="32"/>
      <c r="M26" s="29"/>
      <c r="N26" s="6"/>
    </row>
    <row r="27" spans="1:14" ht="15.75">
      <c r="A27" s="28"/>
      <c r="B27" s="29"/>
      <c r="C27" s="29"/>
      <c r="D27" s="29"/>
      <c r="E27" s="31"/>
      <c r="F27" s="31"/>
      <c r="G27" s="31"/>
      <c r="H27" s="31"/>
      <c r="I27" s="31"/>
      <c r="J27" s="31"/>
      <c r="K27" s="32"/>
      <c r="L27" s="32"/>
      <c r="M27" s="29"/>
      <c r="N27" s="6"/>
    </row>
    <row r="28" spans="1:14" ht="15.75">
      <c r="A28" s="28"/>
      <c r="B28" s="29" t="s">
        <v>17</v>
      </c>
      <c r="C28" s="29"/>
      <c r="D28" s="37">
        <v>178210</v>
      </c>
      <c r="E28" s="38"/>
      <c r="F28" s="37">
        <v>51450</v>
      </c>
      <c r="G28" s="37"/>
      <c r="H28" s="37">
        <v>21340</v>
      </c>
      <c r="I28" s="37"/>
      <c r="J28" s="37"/>
      <c r="K28" s="39"/>
      <c r="L28" s="37">
        <f>J28+H28+F28+D28</f>
        <v>251000</v>
      </c>
      <c r="M28" s="40"/>
      <c r="N28" s="6"/>
    </row>
    <row r="29" spans="1:14" ht="15.75">
      <c r="A29" s="28"/>
      <c r="B29" s="29" t="s">
        <v>18</v>
      </c>
      <c r="C29" s="44">
        <v>1</v>
      </c>
      <c r="D29" s="37">
        <v>178210</v>
      </c>
      <c r="E29" s="38"/>
      <c r="F29" s="37">
        <v>51450</v>
      </c>
      <c r="G29" s="37"/>
      <c r="H29" s="37">
        <v>21340</v>
      </c>
      <c r="I29" s="42"/>
      <c r="J29" s="37"/>
      <c r="K29" s="39"/>
      <c r="L29" s="37">
        <f>J29+H29+F29+D29</f>
        <v>251000</v>
      </c>
      <c r="M29" s="40"/>
      <c r="N29" s="6"/>
    </row>
    <row r="30" spans="1:14" ht="15.75">
      <c r="A30" s="43"/>
      <c r="B30" s="33" t="s">
        <v>19</v>
      </c>
      <c r="C30" s="44">
        <v>1</v>
      </c>
      <c r="D30" s="45">
        <v>178210</v>
      </c>
      <c r="E30" s="46"/>
      <c r="F30" s="45">
        <v>51450</v>
      </c>
      <c r="G30" s="45"/>
      <c r="H30" s="45">
        <v>21340</v>
      </c>
      <c r="I30" s="45"/>
      <c r="J30" s="45"/>
      <c r="K30" s="47"/>
      <c r="L30" s="45">
        <f>J30+H30+F30+D30</f>
        <v>251000</v>
      </c>
      <c r="M30" s="29"/>
      <c r="N30" s="6"/>
    </row>
    <row r="31" spans="1:14" ht="15.75">
      <c r="A31" s="28"/>
      <c r="B31" s="29" t="s">
        <v>20</v>
      </c>
      <c r="C31" s="48"/>
      <c r="D31" s="36" t="s">
        <v>146</v>
      </c>
      <c r="E31" s="29"/>
      <c r="F31" s="36" t="s">
        <v>162</v>
      </c>
      <c r="G31" s="36"/>
      <c r="H31" s="36" t="s">
        <v>173</v>
      </c>
      <c r="I31" s="36"/>
      <c r="J31" s="36"/>
      <c r="K31" s="32"/>
      <c r="L31" s="32"/>
      <c r="M31" s="29"/>
      <c r="N31" s="6"/>
    </row>
    <row r="32" spans="1:14" ht="15.75">
      <c r="A32" s="28"/>
      <c r="B32" s="29" t="s">
        <v>21</v>
      </c>
      <c r="C32" s="48"/>
      <c r="D32" s="49">
        <v>0.0434375</v>
      </c>
      <c r="E32" s="50"/>
      <c r="F32" s="49">
        <v>0.0490375</v>
      </c>
      <c r="G32" s="49"/>
      <c r="H32" s="49">
        <v>0.0630375</v>
      </c>
      <c r="I32" s="51"/>
      <c r="J32" s="49"/>
      <c r="K32" s="32"/>
      <c r="L32" s="51">
        <f>SUMPRODUCT(D32:J32,D30:J30)/L30</f>
        <v>0.04625177888446215</v>
      </c>
      <c r="M32" s="29"/>
      <c r="N32" s="6"/>
    </row>
    <row r="33" spans="1:14" ht="15.75">
      <c r="A33" s="28"/>
      <c r="B33" s="29" t="s">
        <v>22</v>
      </c>
      <c r="C33" s="48"/>
      <c r="D33" s="49">
        <v>0.0507031</v>
      </c>
      <c r="E33" s="50"/>
      <c r="F33" s="49">
        <v>0.0563031</v>
      </c>
      <c r="G33" s="49"/>
      <c r="H33" s="49">
        <v>0.0703031</v>
      </c>
      <c r="I33" s="51"/>
      <c r="J33" s="49"/>
      <c r="K33" s="32"/>
      <c r="L33" s="32"/>
      <c r="M33" s="29"/>
      <c r="N33" s="6"/>
    </row>
    <row r="34" spans="1:14" ht="15.75">
      <c r="A34" s="28"/>
      <c r="B34" s="29" t="s">
        <v>23</v>
      </c>
      <c r="C34" s="48"/>
      <c r="D34" s="36" t="s">
        <v>147</v>
      </c>
      <c r="E34" s="29"/>
      <c r="F34" s="36" t="s">
        <v>147</v>
      </c>
      <c r="G34" s="36"/>
      <c r="H34" s="36" t="s">
        <v>147</v>
      </c>
      <c r="I34" s="36"/>
      <c r="J34" s="36"/>
      <c r="K34" s="32"/>
      <c r="L34" s="32"/>
      <c r="M34" s="29"/>
      <c r="N34" s="6"/>
    </row>
    <row r="35" spans="1:14" ht="15.75">
      <c r="A35" s="28"/>
      <c r="B35" s="29" t="s">
        <v>24</v>
      </c>
      <c r="C35" s="29"/>
      <c r="D35" s="52">
        <v>39248</v>
      </c>
      <c r="E35" s="29"/>
      <c r="F35" s="52">
        <v>39248</v>
      </c>
      <c r="G35" s="52"/>
      <c r="H35" s="52">
        <v>39248</v>
      </c>
      <c r="I35" s="36"/>
      <c r="J35" s="36"/>
      <c r="K35" s="32"/>
      <c r="L35" s="32"/>
      <c r="M35" s="29"/>
      <c r="N35" s="6"/>
    </row>
    <row r="36" spans="1:14" ht="15.75">
      <c r="A36" s="28"/>
      <c r="B36" s="29" t="s">
        <v>25</v>
      </c>
      <c r="C36" s="29"/>
      <c r="D36" s="36" t="s">
        <v>148</v>
      </c>
      <c r="E36" s="29"/>
      <c r="F36" s="36" t="s">
        <v>163</v>
      </c>
      <c r="G36" s="36"/>
      <c r="H36" s="36" t="s">
        <v>174</v>
      </c>
      <c r="I36" s="36"/>
      <c r="J36" s="36"/>
      <c r="K36" s="32"/>
      <c r="L36" s="32"/>
      <c r="M36" s="29"/>
      <c r="N36" s="6"/>
    </row>
    <row r="37" spans="1:14" ht="15.75">
      <c r="A37" s="28"/>
      <c r="B37" s="29"/>
      <c r="C37" s="29"/>
      <c r="D37" s="53"/>
      <c r="E37" s="53"/>
      <c r="F37" s="29"/>
      <c r="G37" s="53"/>
      <c r="H37" s="53"/>
      <c r="I37" s="53"/>
      <c r="J37" s="53"/>
      <c r="K37" s="53"/>
      <c r="L37" s="53"/>
      <c r="M37" s="29"/>
      <c r="N37" s="6"/>
    </row>
    <row r="38" spans="1:14" ht="15.75">
      <c r="A38" s="28"/>
      <c r="B38" s="29" t="s">
        <v>26</v>
      </c>
      <c r="C38" s="29"/>
      <c r="D38" s="29"/>
      <c r="E38" s="29"/>
      <c r="F38" s="50"/>
      <c r="G38" s="29"/>
      <c r="H38" s="50"/>
      <c r="I38" s="29"/>
      <c r="J38" s="29"/>
      <c r="K38" s="29"/>
      <c r="L38" s="51">
        <f>(H28+F28)/(D28)</f>
        <v>0.4084507042253521</v>
      </c>
      <c r="M38" s="29"/>
      <c r="N38" s="6"/>
    </row>
    <row r="39" spans="1:14" ht="15.75">
      <c r="A39" s="28"/>
      <c r="B39" s="29" t="s">
        <v>27</v>
      </c>
      <c r="C39" s="29"/>
      <c r="D39" s="29"/>
      <c r="E39" s="29"/>
      <c r="F39" s="50"/>
      <c r="G39" s="29"/>
      <c r="H39" s="50"/>
      <c r="I39" s="29"/>
      <c r="J39" s="29"/>
      <c r="K39" s="29"/>
      <c r="L39" s="51">
        <f>(H30+F30)/(D30)</f>
        <v>0.4084507042253521</v>
      </c>
      <c r="M39" s="29"/>
      <c r="N39" s="6"/>
    </row>
    <row r="40" spans="1:14" ht="15.75">
      <c r="A40" s="28"/>
      <c r="B40" s="29" t="s">
        <v>28</v>
      </c>
      <c r="C40" s="29"/>
      <c r="D40" s="29"/>
      <c r="E40" s="29"/>
      <c r="F40" s="29"/>
      <c r="G40" s="29"/>
      <c r="H40" s="29"/>
      <c r="I40" s="29"/>
      <c r="J40" s="36" t="s">
        <v>142</v>
      </c>
      <c r="K40" s="36" t="s">
        <v>185</v>
      </c>
      <c r="L40" s="37">
        <v>38766</v>
      </c>
      <c r="M40" s="29"/>
      <c r="N40" s="6"/>
    </row>
    <row r="41" spans="1:14" ht="15.75">
      <c r="A41" s="28"/>
      <c r="B41" s="29"/>
      <c r="C41" s="29"/>
      <c r="D41" s="29"/>
      <c r="E41" s="29"/>
      <c r="F41" s="29"/>
      <c r="G41" s="29"/>
      <c r="H41" s="29"/>
      <c r="I41" s="29"/>
      <c r="J41" s="29" t="s">
        <v>177</v>
      </c>
      <c r="K41" s="29"/>
      <c r="L41" s="54"/>
      <c r="M41" s="29"/>
      <c r="N41" s="6"/>
    </row>
    <row r="42" spans="1:14" ht="15.75">
      <c r="A42" s="28"/>
      <c r="B42" s="29" t="s">
        <v>29</v>
      </c>
      <c r="C42" s="29"/>
      <c r="D42" s="29"/>
      <c r="E42" s="29"/>
      <c r="F42" s="29"/>
      <c r="G42" s="29"/>
      <c r="H42" s="29"/>
      <c r="I42" s="29"/>
      <c r="J42" s="36"/>
      <c r="K42" s="36"/>
      <c r="L42" s="36" t="s">
        <v>187</v>
      </c>
      <c r="M42" s="29"/>
      <c r="N42" s="6"/>
    </row>
    <row r="43" spans="1:14" ht="15.75">
      <c r="A43" s="43"/>
      <c r="B43" s="33" t="s">
        <v>30</v>
      </c>
      <c r="C43" s="33"/>
      <c r="D43" s="33"/>
      <c r="E43" s="33"/>
      <c r="F43" s="33"/>
      <c r="G43" s="33"/>
      <c r="H43" s="33"/>
      <c r="I43" s="33"/>
      <c r="J43" s="55"/>
      <c r="K43" s="55"/>
      <c r="L43" s="56">
        <v>37330</v>
      </c>
      <c r="M43" s="33"/>
      <c r="N43" s="6"/>
    </row>
    <row r="44" spans="1:14" ht="15.75">
      <c r="A44" s="28"/>
      <c r="B44" s="29" t="s">
        <v>31</v>
      </c>
      <c r="C44" s="29"/>
      <c r="D44" s="29"/>
      <c r="E44" s="29"/>
      <c r="F44" s="29"/>
      <c r="G44" s="29"/>
      <c r="H44" s="32"/>
      <c r="I44" s="29">
        <f>L44-J44+1</f>
        <v>91</v>
      </c>
      <c r="J44" s="58">
        <v>37151</v>
      </c>
      <c r="K44" s="59"/>
      <c r="L44" s="58">
        <v>37241</v>
      </c>
      <c r="M44" s="29"/>
      <c r="N44" s="6"/>
    </row>
    <row r="45" spans="1:14" ht="15.75">
      <c r="A45" s="28"/>
      <c r="B45" s="29" t="s">
        <v>32</v>
      </c>
      <c r="C45" s="29"/>
      <c r="D45" s="29"/>
      <c r="E45" s="29"/>
      <c r="F45" s="29"/>
      <c r="G45" s="29"/>
      <c r="H45" s="32"/>
      <c r="I45" s="29">
        <f>L45-J45+1</f>
        <v>88</v>
      </c>
      <c r="J45" s="58">
        <v>37242</v>
      </c>
      <c r="K45" s="59"/>
      <c r="L45" s="58">
        <v>37329</v>
      </c>
      <c r="M45" s="29"/>
      <c r="N45" s="6"/>
    </row>
    <row r="46" spans="1:14" ht="15.75">
      <c r="A46" s="28"/>
      <c r="B46" s="29" t="s">
        <v>33</v>
      </c>
      <c r="C46" s="29"/>
      <c r="D46" s="29"/>
      <c r="E46" s="29"/>
      <c r="F46" s="29"/>
      <c r="G46" s="29"/>
      <c r="H46" s="29"/>
      <c r="I46" s="29"/>
      <c r="J46" s="58"/>
      <c r="K46" s="59"/>
      <c r="L46" s="58" t="s">
        <v>188</v>
      </c>
      <c r="M46" s="29"/>
      <c r="N46" s="6"/>
    </row>
    <row r="47" spans="1:14" ht="15.75">
      <c r="A47" s="28"/>
      <c r="B47" s="29" t="s">
        <v>34</v>
      </c>
      <c r="C47" s="29"/>
      <c r="D47" s="29"/>
      <c r="E47" s="29"/>
      <c r="F47" s="29"/>
      <c r="G47" s="29"/>
      <c r="H47" s="29"/>
      <c r="I47" s="29"/>
      <c r="J47" s="58"/>
      <c r="K47" s="59"/>
      <c r="L47" s="58">
        <v>37318</v>
      </c>
      <c r="M47" s="29"/>
      <c r="N47" s="6"/>
    </row>
    <row r="48" spans="1:14" ht="15.75">
      <c r="A48" s="28"/>
      <c r="B48" s="29"/>
      <c r="C48" s="29"/>
      <c r="D48" s="29"/>
      <c r="E48" s="29"/>
      <c r="F48" s="29"/>
      <c r="G48" s="29"/>
      <c r="H48" s="29"/>
      <c r="I48" s="29"/>
      <c r="J48" s="29"/>
      <c r="K48" s="29"/>
      <c r="L48" s="60"/>
      <c r="M48" s="29"/>
      <c r="N48" s="6"/>
    </row>
    <row r="49" spans="1:14" ht="15.75">
      <c r="A49" s="7"/>
      <c r="B49" s="9"/>
      <c r="C49" s="9"/>
      <c r="D49" s="9"/>
      <c r="E49" s="9"/>
      <c r="F49" s="9"/>
      <c r="G49" s="9"/>
      <c r="H49" s="9"/>
      <c r="I49" s="9"/>
      <c r="J49" s="9"/>
      <c r="K49" s="9"/>
      <c r="L49" s="61"/>
      <c r="M49" s="9"/>
      <c r="N49" s="6"/>
    </row>
    <row r="50" spans="1:14" ht="16.5" thickBot="1">
      <c r="A50" s="144"/>
      <c r="B50" s="145" t="s">
        <v>193</v>
      </c>
      <c r="C50" s="146"/>
      <c r="D50" s="146"/>
      <c r="E50" s="146"/>
      <c r="F50" s="146"/>
      <c r="G50" s="146"/>
      <c r="H50" s="146"/>
      <c r="I50" s="146"/>
      <c r="J50" s="146"/>
      <c r="K50" s="146"/>
      <c r="L50" s="147"/>
      <c r="M50" s="148"/>
      <c r="N50" s="6"/>
    </row>
    <row r="51" spans="1:14" ht="15.75">
      <c r="A51" s="2"/>
      <c r="B51" s="5"/>
      <c r="C51" s="5"/>
      <c r="D51" s="5"/>
      <c r="E51" s="5"/>
      <c r="F51" s="5"/>
      <c r="G51" s="5"/>
      <c r="H51" s="5"/>
      <c r="I51" s="5"/>
      <c r="J51" s="5"/>
      <c r="K51" s="5"/>
      <c r="L51" s="62"/>
      <c r="M51" s="5"/>
      <c r="N51" s="6"/>
    </row>
    <row r="52" spans="1:14" ht="15.75">
      <c r="A52" s="7"/>
      <c r="B52" s="63" t="s">
        <v>36</v>
      </c>
      <c r="C52" s="15"/>
      <c r="D52" s="9"/>
      <c r="E52" s="9"/>
      <c r="F52" s="9"/>
      <c r="G52" s="9"/>
      <c r="H52" s="9"/>
      <c r="I52" s="9"/>
      <c r="J52" s="9"/>
      <c r="K52" s="9"/>
      <c r="L52" s="64"/>
      <c r="M52" s="9"/>
      <c r="N52" s="6"/>
    </row>
    <row r="53" spans="1:14" ht="15.75">
      <c r="A53" s="7"/>
      <c r="B53" s="15"/>
      <c r="C53" s="15"/>
      <c r="D53" s="9"/>
      <c r="E53" s="9"/>
      <c r="F53" s="9"/>
      <c r="G53" s="9"/>
      <c r="H53" s="9"/>
      <c r="I53" s="9"/>
      <c r="J53" s="9"/>
      <c r="K53" s="9"/>
      <c r="L53" s="64"/>
      <c r="M53" s="9"/>
      <c r="N53" s="6"/>
    </row>
    <row r="54" spans="1:14" s="176" customFormat="1" ht="47.25">
      <c r="A54" s="170"/>
      <c r="B54" s="171"/>
      <c r="C54" s="172" t="s">
        <v>139</v>
      </c>
      <c r="D54" s="172" t="s">
        <v>149</v>
      </c>
      <c r="E54" s="172"/>
      <c r="F54" s="172" t="s">
        <v>164</v>
      </c>
      <c r="G54" s="172"/>
      <c r="H54" s="172" t="s">
        <v>175</v>
      </c>
      <c r="I54" s="172"/>
      <c r="J54" s="172" t="s">
        <v>178</v>
      </c>
      <c r="K54" s="172"/>
      <c r="L54" s="173" t="s">
        <v>189</v>
      </c>
      <c r="M54" s="174"/>
      <c r="N54" s="175"/>
    </row>
    <row r="55" spans="1:14" ht="15.75">
      <c r="A55" s="28"/>
      <c r="B55" s="29" t="s">
        <v>37</v>
      </c>
      <c r="C55" s="66">
        <f>81776+9633</f>
        <v>91409</v>
      </c>
      <c r="D55" s="66">
        <v>78544</v>
      </c>
      <c r="E55" s="66"/>
      <c r="F55" s="66">
        <f>6767+290+163</f>
        <v>7220</v>
      </c>
      <c r="G55" s="66"/>
      <c r="H55" s="66">
        <v>9580</v>
      </c>
      <c r="I55" s="66"/>
      <c r="J55" s="66">
        <v>0</v>
      </c>
      <c r="K55" s="66"/>
      <c r="L55" s="67">
        <f>D55-F55+H55-J55</f>
        <v>80904</v>
      </c>
      <c r="M55" s="29"/>
      <c r="N55" s="6"/>
    </row>
    <row r="56" spans="1:14" ht="15.75">
      <c r="A56" s="28"/>
      <c r="B56" s="29" t="s">
        <v>38</v>
      </c>
      <c r="C56" s="66">
        <v>1</v>
      </c>
      <c r="D56" s="66">
        <v>0</v>
      </c>
      <c r="E56" s="66"/>
      <c r="F56" s="66"/>
      <c r="G56" s="66"/>
      <c r="H56" s="66">
        <v>0</v>
      </c>
      <c r="I56" s="66"/>
      <c r="J56" s="66">
        <v>0</v>
      </c>
      <c r="K56" s="66"/>
      <c r="L56" s="67">
        <f>D56-F56</f>
        <v>0</v>
      </c>
      <c r="M56" s="29"/>
      <c r="N56" s="6"/>
    </row>
    <row r="57" spans="1:14" ht="15.75">
      <c r="A57" s="28"/>
      <c r="B57" s="29"/>
      <c r="C57" s="66"/>
      <c r="D57" s="66"/>
      <c r="E57" s="66"/>
      <c r="F57" s="66"/>
      <c r="G57" s="66"/>
      <c r="H57" s="66"/>
      <c r="I57" s="66"/>
      <c r="J57" s="66"/>
      <c r="K57" s="66"/>
      <c r="L57" s="67"/>
      <c r="M57" s="29"/>
      <c r="N57" s="6"/>
    </row>
    <row r="58" spans="1:14" ht="15.75">
      <c r="A58" s="28"/>
      <c r="B58" s="29" t="s">
        <v>39</v>
      </c>
      <c r="C58" s="66">
        <f>59449+801</f>
        <v>60250</v>
      </c>
      <c r="D58" s="66">
        <v>49502</v>
      </c>
      <c r="E58" s="66"/>
      <c r="F58" s="66">
        <v>15677</v>
      </c>
      <c r="G58" s="66"/>
      <c r="H58" s="66">
        <f>10505+1</f>
        <v>10506</v>
      </c>
      <c r="I58" s="66"/>
      <c r="J58" s="66">
        <f>SUM(J55:J57)</f>
        <v>0</v>
      </c>
      <c r="K58" s="66"/>
      <c r="L58" s="67">
        <f>D58-F58+H58-J58</f>
        <v>44331</v>
      </c>
      <c r="M58" s="29"/>
      <c r="N58" s="6"/>
    </row>
    <row r="59" spans="1:14" ht="15.75">
      <c r="A59" s="28"/>
      <c r="B59" s="29" t="s">
        <v>38</v>
      </c>
      <c r="C59" s="66">
        <v>136</v>
      </c>
      <c r="D59" s="66"/>
      <c r="E59" s="66"/>
      <c r="F59" s="66"/>
      <c r="G59" s="66"/>
      <c r="H59" s="66">
        <v>0</v>
      </c>
      <c r="I59" s="66"/>
      <c r="J59" s="66">
        <v>0</v>
      </c>
      <c r="K59" s="66"/>
      <c r="L59" s="68"/>
      <c r="M59" s="29"/>
      <c r="N59" s="6"/>
    </row>
    <row r="60" spans="1:14" ht="15.75">
      <c r="A60" s="28"/>
      <c r="B60" s="69"/>
      <c r="C60" s="66"/>
      <c r="D60" s="66"/>
      <c r="E60" s="66"/>
      <c r="F60" s="70"/>
      <c r="G60" s="66"/>
      <c r="H60" s="66"/>
      <c r="I60" s="66"/>
      <c r="J60" s="66"/>
      <c r="K60" s="66"/>
      <c r="L60" s="68"/>
      <c r="M60" s="29"/>
      <c r="N60" s="6"/>
    </row>
    <row r="61" spans="1:14" ht="15.75">
      <c r="A61" s="28"/>
      <c r="B61" s="29" t="s">
        <v>40</v>
      </c>
      <c r="C61" s="66">
        <v>25730</v>
      </c>
      <c r="D61" s="66">
        <v>58998</v>
      </c>
      <c r="E61" s="66"/>
      <c r="F61" s="66">
        <v>5168</v>
      </c>
      <c r="G61" s="66"/>
      <c r="H61" s="66">
        <f>9402+2</f>
        <v>9404</v>
      </c>
      <c r="I61" s="66"/>
      <c r="J61" s="66">
        <v>0</v>
      </c>
      <c r="K61" s="66"/>
      <c r="L61" s="67">
        <f>D61-F61+H61-J61</f>
        <v>63234</v>
      </c>
      <c r="M61" s="29"/>
      <c r="N61" s="6"/>
    </row>
    <row r="62" spans="1:14" ht="15.75">
      <c r="A62" s="28"/>
      <c r="B62" s="29" t="s">
        <v>38</v>
      </c>
      <c r="C62" s="66">
        <v>260</v>
      </c>
      <c r="D62" s="67">
        <v>0</v>
      </c>
      <c r="E62" s="66"/>
      <c r="F62" s="66"/>
      <c r="G62" s="66"/>
      <c r="H62" s="66">
        <v>0</v>
      </c>
      <c r="I62" s="66"/>
      <c r="J62" s="66">
        <v>0</v>
      </c>
      <c r="K62" s="66"/>
      <c r="L62" s="67">
        <f>D62-F62+H62-J62</f>
        <v>0</v>
      </c>
      <c r="M62" s="29"/>
      <c r="N62" s="6"/>
    </row>
    <row r="63" spans="1:14" ht="15.75">
      <c r="A63" s="28"/>
      <c r="B63" s="29"/>
      <c r="C63" s="66"/>
      <c r="D63" s="67"/>
      <c r="E63" s="66"/>
      <c r="F63" s="66"/>
      <c r="G63" s="66"/>
      <c r="H63" s="66"/>
      <c r="I63" s="66"/>
      <c r="J63" s="66"/>
      <c r="K63" s="66"/>
      <c r="L63" s="67"/>
      <c r="M63" s="29"/>
      <c r="N63" s="6"/>
    </row>
    <row r="64" spans="1:14" ht="15.75">
      <c r="A64" s="28"/>
      <c r="B64" s="29" t="s">
        <v>41</v>
      </c>
      <c r="C64" s="66">
        <v>26410</v>
      </c>
      <c r="D64" s="67">
        <v>37947</v>
      </c>
      <c r="E64" s="66"/>
      <c r="F64" s="66">
        <f>3954+36</f>
        <v>3990</v>
      </c>
      <c r="G64" s="66"/>
      <c r="H64" s="66">
        <f>12685+1</f>
        <v>12686</v>
      </c>
      <c r="I64" s="66"/>
      <c r="J64" s="66">
        <v>0</v>
      </c>
      <c r="K64" s="66"/>
      <c r="L64" s="67">
        <f>D64-F64+H64-J64</f>
        <v>46643</v>
      </c>
      <c r="M64" s="29"/>
      <c r="N64" s="6"/>
    </row>
    <row r="65" spans="1:14" ht="15.75">
      <c r="A65" s="28"/>
      <c r="B65" s="29" t="s">
        <v>38</v>
      </c>
      <c r="C65" s="66">
        <v>229</v>
      </c>
      <c r="D65" s="67"/>
      <c r="E65" s="66"/>
      <c r="F65" s="66"/>
      <c r="G65" s="66"/>
      <c r="H65" s="66">
        <v>0</v>
      </c>
      <c r="I65" s="66"/>
      <c r="J65" s="66">
        <v>0</v>
      </c>
      <c r="K65" s="66"/>
      <c r="L65" s="67"/>
      <c r="M65" s="29"/>
      <c r="N65" s="6"/>
    </row>
    <row r="66" spans="1:14" ht="15.75">
      <c r="A66" s="28"/>
      <c r="B66" s="66"/>
      <c r="C66" s="66"/>
      <c r="D66" s="67"/>
      <c r="E66" s="66"/>
      <c r="F66" s="66"/>
      <c r="G66" s="66"/>
      <c r="H66" s="66"/>
      <c r="I66" s="66"/>
      <c r="J66" s="66"/>
      <c r="K66" s="66"/>
      <c r="L66" s="67"/>
      <c r="M66" s="29"/>
      <c r="N66" s="6"/>
    </row>
    <row r="67" spans="1:14" ht="15.75">
      <c r="A67" s="28"/>
      <c r="B67" s="29" t="s">
        <v>42</v>
      </c>
      <c r="C67" s="66">
        <f>SUM(C55:C65)</f>
        <v>204425</v>
      </c>
      <c r="D67" s="66">
        <f>SUM(D55:D64)</f>
        <v>224991</v>
      </c>
      <c r="E67" s="66"/>
      <c r="F67" s="66">
        <f>SUM(F55:F65)</f>
        <v>32055</v>
      </c>
      <c r="G67" s="66"/>
      <c r="H67" s="66">
        <f>SUM(H55:H65)</f>
        <v>42176</v>
      </c>
      <c r="I67" s="66"/>
      <c r="J67" s="66">
        <f>SUM(J62:J66)</f>
        <v>0</v>
      </c>
      <c r="K67" s="66"/>
      <c r="L67" s="66">
        <f>SUM(L55:L66)</f>
        <v>235112</v>
      </c>
      <c r="M67" s="29"/>
      <c r="N67" s="6"/>
    </row>
    <row r="68" spans="1:14" ht="15.75">
      <c r="A68" s="28"/>
      <c r="B68" s="29"/>
      <c r="C68" s="66"/>
      <c r="D68" s="68"/>
      <c r="E68" s="66"/>
      <c r="F68" s="66"/>
      <c r="G68" s="66"/>
      <c r="H68" s="66"/>
      <c r="I68" s="66"/>
      <c r="J68" s="66"/>
      <c r="K68" s="66"/>
      <c r="L68" s="68"/>
      <c r="M68" s="29"/>
      <c r="N68" s="6"/>
    </row>
    <row r="69" spans="1:14" ht="15.75">
      <c r="A69" s="28"/>
      <c r="B69" s="29" t="s">
        <v>43</v>
      </c>
      <c r="C69" s="66">
        <f>-1789-10434</f>
        <v>-12223</v>
      </c>
      <c r="D69" s="66">
        <v>-16486</v>
      </c>
      <c r="E69" s="66"/>
      <c r="F69" s="66">
        <f>2470+361+36</f>
        <v>2867</v>
      </c>
      <c r="G69" s="66"/>
      <c r="H69" s="66"/>
      <c r="I69" s="66"/>
      <c r="J69" s="66"/>
      <c r="K69" s="66"/>
      <c r="L69" s="66">
        <f>D69-F69</f>
        <v>-19353</v>
      </c>
      <c r="M69" s="29"/>
      <c r="N69" s="6"/>
    </row>
    <row r="70" spans="1:14" ht="15.75">
      <c r="A70" s="28"/>
      <c r="B70" s="29" t="s">
        <v>44</v>
      </c>
      <c r="C70" s="66">
        <v>58798</v>
      </c>
      <c r="D70" s="68">
        <v>42495</v>
      </c>
      <c r="E70" s="66"/>
      <c r="F70" s="66">
        <f>SUM(F67:F69)</f>
        <v>34922</v>
      </c>
      <c r="G70" s="66"/>
      <c r="H70" s="66">
        <f>-H67</f>
        <v>-42176</v>
      </c>
      <c r="I70" s="66"/>
      <c r="J70" s="66"/>
      <c r="K70" s="66"/>
      <c r="L70" s="68">
        <f>D70+F70+H70+D73</f>
        <v>35241</v>
      </c>
      <c r="M70" s="29"/>
      <c r="N70" s="6"/>
    </row>
    <row r="71" spans="1:14" ht="15.75">
      <c r="A71" s="28"/>
      <c r="B71" s="29" t="s">
        <v>45</v>
      </c>
      <c r="C71" s="66">
        <v>0</v>
      </c>
      <c r="D71" s="68">
        <v>0</v>
      </c>
      <c r="E71" s="66"/>
      <c r="F71" s="66"/>
      <c r="G71" s="66"/>
      <c r="H71" s="66">
        <v>0</v>
      </c>
      <c r="I71" s="66"/>
      <c r="J71" s="66"/>
      <c r="K71" s="66"/>
      <c r="L71" s="68">
        <f>H71+D71</f>
        <v>0</v>
      </c>
      <c r="M71" s="29"/>
      <c r="N71" s="6"/>
    </row>
    <row r="72" spans="1:14" ht="15.75">
      <c r="A72" s="28"/>
      <c r="B72" s="29" t="s">
        <v>46</v>
      </c>
      <c r="C72" s="66">
        <v>0</v>
      </c>
      <c r="D72" s="68">
        <v>0</v>
      </c>
      <c r="E72" s="66"/>
      <c r="F72" s="66">
        <v>0</v>
      </c>
      <c r="G72" s="66"/>
      <c r="H72" s="66"/>
      <c r="I72" s="66"/>
      <c r="J72" s="66"/>
      <c r="K72" s="66"/>
      <c r="L72" s="68">
        <f>D72+F72+H72</f>
        <v>0</v>
      </c>
      <c r="M72" s="29"/>
      <c r="N72" s="6"/>
    </row>
    <row r="73" spans="1:14" ht="15.75">
      <c r="A73" s="28"/>
      <c r="B73" s="29" t="s">
        <v>47</v>
      </c>
      <c r="C73" s="66">
        <v>0</v>
      </c>
      <c r="D73" s="68">
        <v>0</v>
      </c>
      <c r="E73" s="66"/>
      <c r="F73" s="66"/>
      <c r="G73" s="66"/>
      <c r="H73" s="71"/>
      <c r="I73" s="66"/>
      <c r="J73" s="66"/>
      <c r="K73" s="66"/>
      <c r="L73" s="68">
        <v>0</v>
      </c>
      <c r="M73" s="29"/>
      <c r="N73" s="6"/>
    </row>
    <row r="74" spans="1:14" ht="15.75">
      <c r="A74" s="28"/>
      <c r="B74" s="29" t="s">
        <v>19</v>
      </c>
      <c r="C74" s="68">
        <f>SUM(C67:C73)</f>
        <v>251000</v>
      </c>
      <c r="D74" s="68">
        <f>SUM(D67:D73)</f>
        <v>251000</v>
      </c>
      <c r="E74" s="66"/>
      <c r="F74" s="66">
        <f>F70-F73-F72</f>
        <v>34922</v>
      </c>
      <c r="G74" s="66"/>
      <c r="H74" s="66"/>
      <c r="I74" s="66"/>
      <c r="J74" s="66"/>
      <c r="K74" s="66"/>
      <c r="L74" s="68">
        <f>SUM(L67:L73)</f>
        <v>251000</v>
      </c>
      <c r="M74" s="29"/>
      <c r="N74" s="6"/>
    </row>
    <row r="75" spans="1:14" ht="15.75">
      <c r="A75" s="28"/>
      <c r="B75" s="66"/>
      <c r="C75" s="29"/>
      <c r="D75" s="29"/>
      <c r="E75" s="29"/>
      <c r="F75" s="29"/>
      <c r="G75" s="29"/>
      <c r="H75" s="29"/>
      <c r="I75" s="29"/>
      <c r="J75" s="36"/>
      <c r="K75" s="29"/>
      <c r="L75" s="36"/>
      <c r="M75" s="29"/>
      <c r="N75" s="6"/>
    </row>
    <row r="76" spans="1:14" ht="15.75">
      <c r="A76" s="7"/>
      <c r="B76" s="63" t="s">
        <v>48</v>
      </c>
      <c r="C76" s="16"/>
      <c r="D76" s="16"/>
      <c r="E76" s="16"/>
      <c r="F76" s="16"/>
      <c r="G76" s="16"/>
      <c r="H76" s="16"/>
      <c r="I76" s="19"/>
      <c r="J76" s="19"/>
      <c r="K76" s="19"/>
      <c r="L76" s="19" t="s">
        <v>190</v>
      </c>
      <c r="M76" s="16"/>
      <c r="N76" s="6"/>
    </row>
    <row r="77" spans="1:15" ht="15.75">
      <c r="A77" s="28"/>
      <c r="B77" s="29" t="s">
        <v>49</v>
      </c>
      <c r="C77" s="29"/>
      <c r="D77" s="29"/>
      <c r="E77" s="29"/>
      <c r="F77" s="29"/>
      <c r="G77" s="29"/>
      <c r="H77" s="29"/>
      <c r="I77" s="29"/>
      <c r="J77" s="66"/>
      <c r="K77" s="29"/>
      <c r="L77" s="67">
        <f>48269+23+41</f>
        <v>48333</v>
      </c>
      <c r="M77" s="29"/>
      <c r="N77" s="6"/>
      <c r="O77" s="67"/>
    </row>
    <row r="78" spans="1:15" ht="15.75">
      <c r="A78" s="28"/>
      <c r="B78" s="29" t="s">
        <v>50</v>
      </c>
      <c r="C78" s="53"/>
      <c r="D78" s="57"/>
      <c r="E78" s="29"/>
      <c r="F78" s="29"/>
      <c r="G78" s="29"/>
      <c r="H78" s="29"/>
      <c r="I78" s="29"/>
      <c r="J78" s="66"/>
      <c r="K78" s="29"/>
      <c r="L78" s="67">
        <f>1159+130+454</f>
        <v>1743</v>
      </c>
      <c r="M78" s="29"/>
      <c r="N78" s="6"/>
      <c r="O78" s="141"/>
    </row>
    <row r="79" spans="1:14" ht="15.75">
      <c r="A79" s="28"/>
      <c r="B79" s="29" t="s">
        <v>51</v>
      </c>
      <c r="C79" s="53"/>
      <c r="D79" s="57"/>
      <c r="E79" s="29"/>
      <c r="F79" s="29"/>
      <c r="G79" s="29"/>
      <c r="H79" s="29"/>
      <c r="I79" s="29"/>
      <c r="J79" s="66"/>
      <c r="K79" s="29"/>
      <c r="L79" s="67">
        <v>-10793</v>
      </c>
      <c r="M79" s="29"/>
      <c r="N79" s="6"/>
    </row>
    <row r="80" spans="1:14" ht="15.75">
      <c r="A80" s="28"/>
      <c r="B80" s="29" t="s">
        <v>192</v>
      </c>
      <c r="C80" s="53"/>
      <c r="D80" s="57"/>
      <c r="E80" s="29"/>
      <c r="F80" s="29"/>
      <c r="G80" s="29"/>
      <c r="H80" s="29"/>
      <c r="I80" s="29"/>
      <c r="J80" s="66"/>
      <c r="K80" s="29"/>
      <c r="L80" s="67">
        <v>-15</v>
      </c>
      <c r="M80" s="29"/>
      <c r="N80" s="6"/>
    </row>
    <row r="81" spans="1:14" ht="15.75">
      <c r="A81" s="28"/>
      <c r="B81" s="29" t="s">
        <v>52</v>
      </c>
      <c r="C81" s="29"/>
      <c r="D81" s="29"/>
      <c r="E81" s="29"/>
      <c r="F81" s="29"/>
      <c r="G81" s="29"/>
      <c r="H81" s="29"/>
      <c r="I81" s="29"/>
      <c r="J81" s="66"/>
      <c r="K81" s="29"/>
      <c r="L81" s="67">
        <v>0</v>
      </c>
      <c r="M81" s="29"/>
      <c r="N81" s="6"/>
    </row>
    <row r="82" spans="1:14" ht="15.75">
      <c r="A82" s="28"/>
      <c r="B82" s="29" t="s">
        <v>53</v>
      </c>
      <c r="C82" s="29"/>
      <c r="D82" s="29"/>
      <c r="E82" s="29"/>
      <c r="F82" s="29"/>
      <c r="G82" s="29"/>
      <c r="H82" s="29"/>
      <c r="I82" s="29"/>
      <c r="J82" s="66"/>
      <c r="K82" s="29"/>
      <c r="L82" s="67">
        <f>SUM(L77:L81)</f>
        <v>39268</v>
      </c>
      <c r="M82" s="29"/>
      <c r="N82" s="6"/>
    </row>
    <row r="83" spans="1:14" ht="15.75">
      <c r="A83" s="28"/>
      <c r="B83" s="29"/>
      <c r="C83" s="29"/>
      <c r="D83" s="29"/>
      <c r="E83" s="29"/>
      <c r="F83" s="29"/>
      <c r="G83" s="29"/>
      <c r="H83" s="29"/>
      <c r="I83" s="29"/>
      <c r="J83" s="66"/>
      <c r="K83" s="29"/>
      <c r="L83" s="68"/>
      <c r="M83" s="29"/>
      <c r="N83" s="6"/>
    </row>
    <row r="84" spans="1:14" ht="15.75">
      <c r="A84" s="28"/>
      <c r="B84" s="164" t="s">
        <v>54</v>
      </c>
      <c r="C84" s="73"/>
      <c r="D84" s="29"/>
      <c r="E84" s="29"/>
      <c r="F84" s="29"/>
      <c r="G84" s="29"/>
      <c r="H84" s="29"/>
      <c r="I84" s="29"/>
      <c r="J84" s="66"/>
      <c r="K84" s="29"/>
      <c r="L84" s="67"/>
      <c r="M84" s="29"/>
      <c r="N84" s="6"/>
    </row>
    <row r="85" spans="1:14" ht="15.75">
      <c r="A85" s="28">
        <v>1</v>
      </c>
      <c r="B85" s="29" t="s">
        <v>55</v>
      </c>
      <c r="C85" s="29"/>
      <c r="D85" s="29"/>
      <c r="E85" s="29"/>
      <c r="F85" s="29"/>
      <c r="G85" s="29"/>
      <c r="H85" s="29"/>
      <c r="I85" s="29"/>
      <c r="J85" s="29"/>
      <c r="K85" s="29"/>
      <c r="L85" s="67">
        <v>-5</v>
      </c>
      <c r="M85" s="29"/>
      <c r="N85" s="6"/>
    </row>
    <row r="86" spans="1:14" ht="15.75">
      <c r="A86" s="28">
        <f aca="true" t="shared" si="0" ref="A86:A94">A85+1</f>
        <v>2</v>
      </c>
      <c r="B86" s="29" t="s">
        <v>56</v>
      </c>
      <c r="C86" s="29"/>
      <c r="D86" s="29"/>
      <c r="E86" s="29"/>
      <c r="F86" s="29"/>
      <c r="G86" s="29"/>
      <c r="H86" s="29"/>
      <c r="I86" s="29"/>
      <c r="J86" s="29"/>
      <c r="K86" s="29"/>
      <c r="L86" s="67">
        <f>-459-20</f>
        <v>-479</v>
      </c>
      <c r="M86" s="29"/>
      <c r="N86" s="6"/>
    </row>
    <row r="87" spans="1:14" ht="15.75">
      <c r="A87" s="28">
        <f t="shared" si="0"/>
        <v>3</v>
      </c>
      <c r="B87" s="29" t="s">
        <v>57</v>
      </c>
      <c r="C87" s="29"/>
      <c r="D87" s="29"/>
      <c r="E87" s="29"/>
      <c r="F87" s="29"/>
      <c r="G87" s="29"/>
      <c r="H87" s="29"/>
      <c r="I87" s="29"/>
      <c r="J87" s="29"/>
      <c r="K87" s="29"/>
      <c r="L87" s="67">
        <v>-555</v>
      </c>
      <c r="M87" s="29"/>
      <c r="N87" s="6"/>
    </row>
    <row r="88" spans="1:14" ht="15.75">
      <c r="A88" s="28">
        <f t="shared" si="0"/>
        <v>4</v>
      </c>
      <c r="B88" s="29" t="s">
        <v>58</v>
      </c>
      <c r="C88" s="29"/>
      <c r="D88" s="29"/>
      <c r="E88" s="29"/>
      <c r="F88" s="29"/>
      <c r="G88" s="29"/>
      <c r="H88" s="29"/>
      <c r="I88" s="29"/>
      <c r="J88" s="29"/>
      <c r="K88" s="29"/>
      <c r="L88" s="67">
        <v>-1866</v>
      </c>
      <c r="M88" s="29"/>
      <c r="N88" s="6"/>
    </row>
    <row r="89" spans="1:14" ht="15.75">
      <c r="A89" s="28">
        <f t="shared" si="0"/>
        <v>5</v>
      </c>
      <c r="B89" s="29" t="s">
        <v>59</v>
      </c>
      <c r="C89" s="29"/>
      <c r="D89" s="29"/>
      <c r="E89" s="29"/>
      <c r="F89" s="29"/>
      <c r="G89" s="29"/>
      <c r="H89" s="29"/>
      <c r="I89" s="29"/>
      <c r="J89" s="29"/>
      <c r="K89" s="29"/>
      <c r="L89" s="67">
        <v>-3</v>
      </c>
      <c r="M89" s="29"/>
      <c r="N89" s="6"/>
    </row>
    <row r="90" spans="1:14" ht="15.75">
      <c r="A90" s="28">
        <f t="shared" si="0"/>
        <v>6</v>
      </c>
      <c r="B90" s="29" t="s">
        <v>60</v>
      </c>
      <c r="C90" s="29"/>
      <c r="D90" s="29"/>
      <c r="E90" s="29"/>
      <c r="F90" s="29"/>
      <c r="G90" s="29"/>
      <c r="H90" s="29"/>
      <c r="I90" s="29"/>
      <c r="J90" s="29"/>
      <c r="K90" s="29"/>
      <c r="L90" s="67">
        <v>-608</v>
      </c>
      <c r="M90" s="29"/>
      <c r="N90" s="6"/>
    </row>
    <row r="91" spans="1:14" ht="15.75">
      <c r="A91" s="28">
        <f t="shared" si="0"/>
        <v>7</v>
      </c>
      <c r="B91" s="29" t="s">
        <v>61</v>
      </c>
      <c r="C91" s="29"/>
      <c r="D91" s="29"/>
      <c r="E91" s="29"/>
      <c r="F91" s="29"/>
      <c r="G91" s="29"/>
      <c r="H91" s="29"/>
      <c r="I91" s="29"/>
      <c r="J91" s="29"/>
      <c r="K91" s="29"/>
      <c r="L91" s="67">
        <v>-324</v>
      </c>
      <c r="M91" s="29"/>
      <c r="N91" s="6"/>
    </row>
    <row r="92" spans="1:14" ht="15.75">
      <c r="A92" s="28">
        <f t="shared" si="0"/>
        <v>8</v>
      </c>
      <c r="B92" s="29" t="s">
        <v>62</v>
      </c>
      <c r="C92" s="29"/>
      <c r="D92" s="29"/>
      <c r="E92" s="29"/>
      <c r="F92" s="29"/>
      <c r="G92" s="29"/>
      <c r="H92" s="29"/>
      <c r="I92" s="29"/>
      <c r="J92" s="29"/>
      <c r="K92" s="29"/>
      <c r="L92" s="67">
        <v>0</v>
      </c>
      <c r="M92" s="29"/>
      <c r="N92" s="6"/>
    </row>
    <row r="93" spans="1:14" ht="15.75">
      <c r="A93" s="28">
        <f t="shared" si="0"/>
        <v>9</v>
      </c>
      <c r="B93" s="29" t="s">
        <v>44</v>
      </c>
      <c r="C93" s="29"/>
      <c r="D93" s="29"/>
      <c r="E93" s="29"/>
      <c r="F93" s="29"/>
      <c r="G93" s="29"/>
      <c r="H93" s="29"/>
      <c r="I93" s="29"/>
      <c r="J93" s="66"/>
      <c r="K93" s="29"/>
      <c r="L93" s="67">
        <f>L82+SUM(L85:L91)-L94</f>
        <v>35243</v>
      </c>
      <c r="M93" s="29"/>
      <c r="N93" s="6"/>
    </row>
    <row r="94" spans="1:15" ht="15.75">
      <c r="A94" s="28">
        <f t="shared" si="0"/>
        <v>10</v>
      </c>
      <c r="B94" s="29" t="s">
        <v>63</v>
      </c>
      <c r="C94" s="29"/>
      <c r="D94" s="29"/>
      <c r="E94" s="29"/>
      <c r="F94" s="29"/>
      <c r="G94" s="29"/>
      <c r="H94" s="29"/>
      <c r="I94" s="29"/>
      <c r="J94" s="29"/>
      <c r="K94" s="29"/>
      <c r="L94" s="67">
        <f>J195+SUM(L82:L91)+J197-J200</f>
        <v>185</v>
      </c>
      <c r="M94" s="29"/>
      <c r="N94" s="6"/>
      <c r="O94" s="72"/>
    </row>
    <row r="95" spans="1:14" ht="15.75">
      <c r="A95" s="28"/>
      <c r="B95" s="32"/>
      <c r="C95" s="29"/>
      <c r="D95" s="29"/>
      <c r="E95" s="29"/>
      <c r="F95" s="29"/>
      <c r="G95" s="29"/>
      <c r="H95" s="29"/>
      <c r="I95" s="29"/>
      <c r="J95" s="66"/>
      <c r="K95" s="66"/>
      <c r="L95" s="66"/>
      <c r="M95" s="29"/>
      <c r="N95" s="6"/>
    </row>
    <row r="96" spans="1:14" ht="15.75">
      <c r="A96" s="7"/>
      <c r="B96" s="14"/>
      <c r="C96" s="9"/>
      <c r="D96" s="9"/>
      <c r="E96" s="9"/>
      <c r="F96" s="9"/>
      <c r="G96" s="9"/>
      <c r="H96" s="9"/>
      <c r="I96" s="9"/>
      <c r="J96" s="74"/>
      <c r="K96" s="74"/>
      <c r="L96" s="74"/>
      <c r="M96" s="9"/>
      <c r="N96" s="6"/>
    </row>
    <row r="97" spans="1:14" ht="16.5" thickBot="1">
      <c r="A97" s="144"/>
      <c r="B97" s="145" t="str">
        <f>B50</f>
        <v>PPAF1 INVESTOR REPORT QUARTER ENDING FEBRUARY 2002</v>
      </c>
      <c r="C97" s="146"/>
      <c r="D97" s="146"/>
      <c r="E97" s="146"/>
      <c r="F97" s="146"/>
      <c r="G97" s="146"/>
      <c r="H97" s="146"/>
      <c r="I97" s="146"/>
      <c r="J97" s="149"/>
      <c r="K97" s="149"/>
      <c r="L97" s="149"/>
      <c r="M97" s="148"/>
      <c r="N97" s="6"/>
    </row>
    <row r="98" spans="1:14" ht="15.75">
      <c r="A98" s="2"/>
      <c r="B98" s="5"/>
      <c r="C98" s="5"/>
      <c r="D98" s="5"/>
      <c r="E98" s="5"/>
      <c r="F98" s="5"/>
      <c r="G98" s="5"/>
      <c r="H98" s="5"/>
      <c r="I98" s="5"/>
      <c r="J98" s="75"/>
      <c r="K98" s="75"/>
      <c r="L98" s="75"/>
      <c r="M98" s="5"/>
      <c r="N98" s="6"/>
    </row>
    <row r="99" spans="1:14" ht="15.75">
      <c r="A99" s="76"/>
      <c r="B99" s="77" t="s">
        <v>64</v>
      </c>
      <c r="C99" s="78"/>
      <c r="D99" s="78"/>
      <c r="E99" s="78"/>
      <c r="F99" s="78"/>
      <c r="G99" s="78"/>
      <c r="H99" s="78"/>
      <c r="I99" s="78"/>
      <c r="J99" s="78"/>
      <c r="K99" s="78"/>
      <c r="L99" s="79"/>
      <c r="M99" s="80"/>
      <c r="N99" s="6"/>
    </row>
    <row r="100" spans="1:14" ht="15.75">
      <c r="A100" s="76"/>
      <c r="B100" s="78"/>
      <c r="C100" s="78"/>
      <c r="D100" s="78"/>
      <c r="E100" s="78"/>
      <c r="F100" s="78"/>
      <c r="G100" s="78"/>
      <c r="H100" s="78"/>
      <c r="I100" s="78"/>
      <c r="J100" s="78"/>
      <c r="K100" s="78"/>
      <c r="L100" s="79"/>
      <c r="M100" s="78"/>
      <c r="N100" s="6"/>
    </row>
    <row r="101" spans="1:14" ht="15.75">
      <c r="A101" s="7"/>
      <c r="B101" s="165" t="s">
        <v>65</v>
      </c>
      <c r="C101" s="15"/>
      <c r="D101" s="9"/>
      <c r="E101" s="9"/>
      <c r="F101" s="9"/>
      <c r="G101" s="9"/>
      <c r="H101" s="9"/>
      <c r="I101" s="9"/>
      <c r="J101" s="9"/>
      <c r="K101" s="9"/>
      <c r="L101" s="64"/>
      <c r="M101" s="9"/>
      <c r="N101" s="6"/>
    </row>
    <row r="102" spans="1:14" ht="15.75">
      <c r="A102" s="28"/>
      <c r="B102" s="29" t="s">
        <v>66</v>
      </c>
      <c r="C102" s="29"/>
      <c r="D102" s="29"/>
      <c r="E102" s="29"/>
      <c r="F102" s="29"/>
      <c r="G102" s="29"/>
      <c r="H102" s="29"/>
      <c r="I102" s="29"/>
      <c r="J102" s="29"/>
      <c r="K102" s="29"/>
      <c r="L102" s="67">
        <f>10793+400</f>
        <v>11193</v>
      </c>
      <c r="M102" s="29"/>
      <c r="N102" s="6"/>
    </row>
    <row r="103" spans="1:14" ht="15.75">
      <c r="A103" s="28"/>
      <c r="B103" s="29" t="s">
        <v>67</v>
      </c>
      <c r="C103" s="29"/>
      <c r="D103" s="29"/>
      <c r="E103" s="29"/>
      <c r="F103" s="29"/>
      <c r="G103" s="29"/>
      <c r="H103" s="29"/>
      <c r="I103" s="29"/>
      <c r="J103" s="29"/>
      <c r="K103" s="29"/>
      <c r="L103" s="67">
        <v>10793</v>
      </c>
      <c r="M103" s="29"/>
      <c r="N103" s="6"/>
    </row>
    <row r="104" spans="1:14" ht="15.75">
      <c r="A104" s="28"/>
      <c r="B104" s="29" t="s">
        <v>68</v>
      </c>
      <c r="C104" s="29"/>
      <c r="D104" s="29"/>
      <c r="E104" s="29"/>
      <c r="F104" s="29"/>
      <c r="G104" s="29"/>
      <c r="H104" s="29"/>
      <c r="I104" s="29"/>
      <c r="J104" s="29"/>
      <c r="K104" s="29"/>
      <c r="L104" s="67">
        <v>0</v>
      </c>
      <c r="M104" s="29"/>
      <c r="N104" s="6"/>
    </row>
    <row r="105" spans="1:14" ht="15.75">
      <c r="A105" s="28"/>
      <c r="B105" s="29" t="s">
        <v>69</v>
      </c>
      <c r="C105" s="29"/>
      <c r="D105" s="29"/>
      <c r="E105" s="29"/>
      <c r="F105" s="29"/>
      <c r="G105" s="29"/>
      <c r="H105" s="29"/>
      <c r="I105" s="29"/>
      <c r="J105" s="29"/>
      <c r="K105" s="29"/>
      <c r="L105" s="67">
        <v>0</v>
      </c>
      <c r="M105" s="29"/>
      <c r="N105" s="6"/>
    </row>
    <row r="106" spans="1:14" ht="15.75">
      <c r="A106" s="28"/>
      <c r="B106" s="29" t="s">
        <v>70</v>
      </c>
      <c r="C106" s="29"/>
      <c r="D106" s="29"/>
      <c r="E106" s="29"/>
      <c r="F106" s="29"/>
      <c r="G106" s="29"/>
      <c r="H106" s="29"/>
      <c r="I106" s="29"/>
      <c r="J106" s="29"/>
      <c r="K106" s="29"/>
      <c r="L106" s="67">
        <v>0</v>
      </c>
      <c r="M106" s="29"/>
      <c r="N106" s="6"/>
    </row>
    <row r="107" spans="1:14" ht="15.75">
      <c r="A107" s="28"/>
      <c r="B107" s="29" t="s">
        <v>58</v>
      </c>
      <c r="C107" s="29"/>
      <c r="D107" s="29"/>
      <c r="E107" s="29"/>
      <c r="F107" s="29"/>
      <c r="G107" s="29"/>
      <c r="H107" s="29"/>
      <c r="I107" s="29"/>
      <c r="J107" s="29"/>
      <c r="K107" s="29"/>
      <c r="L107" s="67">
        <v>0</v>
      </c>
      <c r="M107" s="29"/>
      <c r="N107" s="6"/>
    </row>
    <row r="108" spans="1:14" ht="15.75">
      <c r="A108" s="28"/>
      <c r="B108" s="29" t="s">
        <v>60</v>
      </c>
      <c r="C108" s="29"/>
      <c r="D108" s="29"/>
      <c r="E108" s="29"/>
      <c r="F108" s="29"/>
      <c r="G108" s="29"/>
      <c r="H108" s="29"/>
      <c r="I108" s="29"/>
      <c r="J108" s="29"/>
      <c r="K108" s="29"/>
      <c r="L108" s="67">
        <v>0</v>
      </c>
      <c r="M108" s="29"/>
      <c r="N108" s="6"/>
    </row>
    <row r="109" spans="1:14" ht="15.75">
      <c r="A109" s="28"/>
      <c r="B109" s="29" t="s">
        <v>61</v>
      </c>
      <c r="C109" s="29"/>
      <c r="D109" s="29"/>
      <c r="E109" s="29"/>
      <c r="F109" s="29"/>
      <c r="G109" s="29"/>
      <c r="H109" s="29"/>
      <c r="I109" s="29"/>
      <c r="J109" s="29"/>
      <c r="K109" s="29"/>
      <c r="L109" s="67">
        <v>0</v>
      </c>
      <c r="M109" s="29"/>
      <c r="N109" s="6"/>
    </row>
    <row r="110" spans="1:14" ht="15.75">
      <c r="A110" s="28"/>
      <c r="B110" s="29" t="s">
        <v>71</v>
      </c>
      <c r="C110" s="29"/>
      <c r="D110" s="29"/>
      <c r="E110" s="29"/>
      <c r="F110" s="29"/>
      <c r="G110" s="29"/>
      <c r="H110" s="29"/>
      <c r="I110" s="29"/>
      <c r="J110" s="29"/>
      <c r="K110" s="29"/>
      <c r="L110" s="67">
        <f>L103</f>
        <v>10793</v>
      </c>
      <c r="M110" s="29"/>
      <c r="N110" s="6"/>
    </row>
    <row r="111" spans="1:14" ht="15.75">
      <c r="A111" s="28"/>
      <c r="B111" s="29"/>
      <c r="C111" s="29"/>
      <c r="D111" s="29"/>
      <c r="E111" s="29"/>
      <c r="F111" s="29"/>
      <c r="G111" s="29"/>
      <c r="H111" s="29"/>
      <c r="I111" s="29"/>
      <c r="J111" s="29"/>
      <c r="K111" s="29"/>
      <c r="L111" s="81"/>
      <c r="M111" s="29"/>
      <c r="N111" s="6"/>
    </row>
    <row r="112" spans="1:14" ht="15.75">
      <c r="A112" s="7"/>
      <c r="B112" s="165" t="s">
        <v>72</v>
      </c>
      <c r="C112" s="15"/>
      <c r="D112" s="9"/>
      <c r="E112" s="9"/>
      <c r="F112" s="9"/>
      <c r="G112" s="82"/>
      <c r="H112" s="9"/>
      <c r="I112" s="9"/>
      <c r="J112" s="9"/>
      <c r="K112" s="9"/>
      <c r="L112" s="83"/>
      <c r="M112" s="9"/>
      <c r="N112" s="6"/>
    </row>
    <row r="113" spans="1:14" ht="15.75">
      <c r="A113" s="7"/>
      <c r="B113" s="15"/>
      <c r="C113" s="19" t="s">
        <v>140</v>
      </c>
      <c r="D113" s="19" t="s">
        <v>150</v>
      </c>
      <c r="E113" s="19" t="s">
        <v>156</v>
      </c>
      <c r="F113" s="19" t="s">
        <v>165</v>
      </c>
      <c r="G113" s="82"/>
      <c r="H113" s="82"/>
      <c r="I113" s="9"/>
      <c r="J113" s="9"/>
      <c r="K113" s="9"/>
      <c r="L113" s="83"/>
      <c r="M113" s="9"/>
      <c r="N113" s="6"/>
    </row>
    <row r="114" spans="1:14" ht="15.75">
      <c r="A114" s="28"/>
      <c r="B114" s="29" t="s">
        <v>73</v>
      </c>
      <c r="C114" s="29">
        <v>2470</v>
      </c>
      <c r="D114" s="29">
        <v>361</v>
      </c>
      <c r="E114" s="29">
        <v>0</v>
      </c>
      <c r="F114" s="29">
        <v>36</v>
      </c>
      <c r="G114" s="84"/>
      <c r="H114" s="84"/>
      <c r="I114" s="29"/>
      <c r="J114" s="29"/>
      <c r="K114" s="29"/>
      <c r="L114" s="67">
        <f>SUM(C114:F114)</f>
        <v>2867</v>
      </c>
      <c r="M114" s="29"/>
      <c r="N114" s="6"/>
    </row>
    <row r="115" spans="1:14" ht="15.75">
      <c r="A115" s="28"/>
      <c r="B115" s="29" t="s">
        <v>74</v>
      </c>
      <c r="C115" s="29">
        <v>93</v>
      </c>
      <c r="D115" s="29">
        <v>0</v>
      </c>
      <c r="E115" s="29">
        <v>0</v>
      </c>
      <c r="F115" s="29">
        <v>36</v>
      </c>
      <c r="G115" s="84"/>
      <c r="H115" s="84"/>
      <c r="I115" s="29"/>
      <c r="J115" s="29"/>
      <c r="K115" s="29"/>
      <c r="L115" s="67">
        <f>SUM(C115:F115)</f>
        <v>129</v>
      </c>
      <c r="M115" s="29"/>
      <c r="N115" s="6"/>
    </row>
    <row r="116" spans="1:14" ht="15.75">
      <c r="A116" s="28"/>
      <c r="B116" s="29" t="s">
        <v>75</v>
      </c>
      <c r="C116" s="29"/>
      <c r="D116" s="29"/>
      <c r="E116" s="29"/>
      <c r="F116" s="29"/>
      <c r="G116" s="29"/>
      <c r="H116" s="29"/>
      <c r="I116" s="29"/>
      <c r="J116" s="29"/>
      <c r="K116" s="29"/>
      <c r="L116" s="67">
        <f>SUM(L114:L115)</f>
        <v>2996</v>
      </c>
      <c r="M116" s="29"/>
      <c r="N116" s="6"/>
    </row>
    <row r="117" spans="1:14" ht="15.75">
      <c r="A117" s="28"/>
      <c r="B117" s="29" t="s">
        <v>76</v>
      </c>
      <c r="C117" s="66">
        <v>70</v>
      </c>
      <c r="D117" s="29"/>
      <c r="E117" s="29"/>
      <c r="F117" s="29"/>
      <c r="G117" s="29"/>
      <c r="H117" s="29"/>
      <c r="I117" s="29"/>
      <c r="J117" s="29"/>
      <c r="K117" s="29"/>
      <c r="L117" s="85"/>
      <c r="M117" s="29"/>
      <c r="N117" s="6"/>
    </row>
    <row r="118" spans="1:14" ht="15.75">
      <c r="A118" s="7"/>
      <c r="B118" s="165" t="s">
        <v>77</v>
      </c>
      <c r="C118" s="15"/>
      <c r="D118" s="9"/>
      <c r="E118" s="9"/>
      <c r="F118" s="9"/>
      <c r="G118" s="9"/>
      <c r="H118" s="9"/>
      <c r="I118" s="9"/>
      <c r="J118" s="9"/>
      <c r="K118" s="9"/>
      <c r="L118" s="64"/>
      <c r="M118" s="9"/>
      <c r="N118" s="6"/>
    </row>
    <row r="119" spans="1:14" ht="15.75">
      <c r="A119" s="28"/>
      <c r="B119" s="29" t="s">
        <v>78</v>
      </c>
      <c r="C119" s="86"/>
      <c r="D119" s="29"/>
      <c r="E119" s="29"/>
      <c r="F119" s="29"/>
      <c r="G119" s="29"/>
      <c r="H119" s="29"/>
      <c r="I119" s="29"/>
      <c r="J119" s="29"/>
      <c r="K119" s="29"/>
      <c r="L119" s="67">
        <f>L67</f>
        <v>235112</v>
      </c>
      <c r="M119" s="29"/>
      <c r="N119" s="6"/>
    </row>
    <row r="120" spans="1:14" ht="15.75">
      <c r="A120" s="28"/>
      <c r="B120" s="29" t="s">
        <v>79</v>
      </c>
      <c r="C120" s="86"/>
      <c r="D120" s="29"/>
      <c r="E120" s="29"/>
      <c r="F120" s="29"/>
      <c r="G120" s="29"/>
      <c r="H120" s="29"/>
      <c r="I120" s="29"/>
      <c r="J120" s="29"/>
      <c r="K120" s="29"/>
      <c r="L120" s="67">
        <f>L70</f>
        <v>35241</v>
      </c>
      <c r="M120" s="29"/>
      <c r="N120" s="6"/>
    </row>
    <row r="121" spans="1:15" ht="15.75">
      <c r="A121" s="28"/>
      <c r="B121" s="29" t="s">
        <v>80</v>
      </c>
      <c r="C121" s="86"/>
      <c r="D121" s="29"/>
      <c r="E121" s="29"/>
      <c r="F121" s="29"/>
      <c r="G121" s="29"/>
      <c r="H121" s="29"/>
      <c r="I121" s="29"/>
      <c r="J121" s="29"/>
      <c r="K121" s="29"/>
      <c r="L121" s="67">
        <f>L120+L119+L72+L73</f>
        <v>270353</v>
      </c>
      <c r="M121" s="29"/>
      <c r="N121" s="6"/>
      <c r="O121" s="72"/>
    </row>
    <row r="122" spans="1:14" ht="15.75">
      <c r="A122" s="28"/>
      <c r="B122" s="29" t="s">
        <v>81</v>
      </c>
      <c r="C122" s="86"/>
      <c r="D122" s="29"/>
      <c r="E122" s="29"/>
      <c r="F122" s="29"/>
      <c r="G122" s="29"/>
      <c r="H122" s="29"/>
      <c r="I122" s="29"/>
      <c r="J122" s="29"/>
      <c r="K122" s="29"/>
      <c r="L122" s="67">
        <f>L74</f>
        <v>251000</v>
      </c>
      <c r="M122" s="29"/>
      <c r="N122" s="6"/>
    </row>
    <row r="123" spans="1:14" ht="15.75">
      <c r="A123" s="28"/>
      <c r="B123" s="29"/>
      <c r="C123" s="29"/>
      <c r="D123" s="29"/>
      <c r="E123" s="29"/>
      <c r="F123" s="29"/>
      <c r="G123" s="29"/>
      <c r="H123" s="29"/>
      <c r="I123" s="29"/>
      <c r="J123" s="29"/>
      <c r="K123" s="29"/>
      <c r="L123" s="85"/>
      <c r="M123" s="29"/>
      <c r="N123" s="6"/>
    </row>
    <row r="124" spans="1:14" ht="15.75">
      <c r="A124" s="7"/>
      <c r="B124" s="165" t="s">
        <v>82</v>
      </c>
      <c r="C124" s="11"/>
      <c r="D124" s="11"/>
      <c r="E124" s="11"/>
      <c r="F124" s="11"/>
      <c r="G124" s="11"/>
      <c r="H124" s="25" t="s">
        <v>176</v>
      </c>
      <c r="I124" s="87"/>
      <c r="J124" s="25" t="s">
        <v>179</v>
      </c>
      <c r="K124" s="11"/>
      <c r="L124" s="88" t="s">
        <v>131</v>
      </c>
      <c r="M124" s="9"/>
      <c r="N124" s="6"/>
    </row>
    <row r="125" spans="1:14" ht="15.75">
      <c r="A125" s="28"/>
      <c r="B125" s="29" t="s">
        <v>83</v>
      </c>
      <c r="C125" s="29"/>
      <c r="D125" s="29"/>
      <c r="E125" s="29"/>
      <c r="F125" s="29"/>
      <c r="G125" s="29"/>
      <c r="H125" s="67">
        <v>0</v>
      </c>
      <c r="I125" s="29"/>
      <c r="J125" s="89" t="s">
        <v>180</v>
      </c>
      <c r="K125" s="29"/>
      <c r="L125" s="67">
        <f>H125</f>
        <v>0</v>
      </c>
      <c r="M125" s="29"/>
      <c r="N125" s="6"/>
    </row>
    <row r="126" spans="1:14" ht="15.75">
      <c r="A126" s="28"/>
      <c r="B126" s="29" t="s">
        <v>84</v>
      </c>
      <c r="C126" s="29"/>
      <c r="D126" s="29"/>
      <c r="E126" s="29"/>
      <c r="F126" s="29"/>
      <c r="G126" s="29"/>
      <c r="H126" s="67">
        <v>0</v>
      </c>
      <c r="I126" s="29"/>
      <c r="J126" s="89" t="s">
        <v>180</v>
      </c>
      <c r="K126" s="29"/>
      <c r="L126" s="67">
        <f>H126</f>
        <v>0</v>
      </c>
      <c r="M126" s="29"/>
      <c r="N126" s="6"/>
    </row>
    <row r="127" spans="1:14" ht="15.75">
      <c r="A127" s="28"/>
      <c r="B127" s="29" t="s">
        <v>85</v>
      </c>
      <c r="C127" s="29"/>
      <c r="D127" s="29"/>
      <c r="E127" s="29"/>
      <c r="F127" s="29"/>
      <c r="G127" s="29"/>
      <c r="H127" s="67">
        <v>0</v>
      </c>
      <c r="I127" s="29"/>
      <c r="J127" s="89" t="s">
        <v>180</v>
      </c>
      <c r="K127" s="29"/>
      <c r="L127" s="67">
        <f>H127</f>
        <v>0</v>
      </c>
      <c r="M127" s="29"/>
      <c r="N127" s="6"/>
    </row>
    <row r="128" spans="1:14" ht="15.75">
      <c r="A128" s="28"/>
      <c r="B128" s="29" t="s">
        <v>86</v>
      </c>
      <c r="C128" s="29"/>
      <c r="D128" s="29"/>
      <c r="E128" s="29"/>
      <c r="F128" s="29"/>
      <c r="G128" s="29"/>
      <c r="H128" s="67">
        <f>SUM(H126:H127)</f>
        <v>0</v>
      </c>
      <c r="I128" s="29"/>
      <c r="J128" s="89" t="s">
        <v>180</v>
      </c>
      <c r="K128" s="29"/>
      <c r="L128" s="67">
        <f>H128</f>
        <v>0</v>
      </c>
      <c r="M128" s="29"/>
      <c r="N128" s="6"/>
    </row>
    <row r="129" spans="1:14" ht="15.75">
      <c r="A129" s="28"/>
      <c r="B129" s="29" t="s">
        <v>87</v>
      </c>
      <c r="C129" s="29"/>
      <c r="D129" s="29"/>
      <c r="E129" s="29"/>
      <c r="F129" s="29"/>
      <c r="G129" s="29"/>
      <c r="H129" s="67">
        <f>H125-H128</f>
        <v>0</v>
      </c>
      <c r="I129" s="29"/>
      <c r="J129" s="89" t="s">
        <v>180</v>
      </c>
      <c r="K129" s="29"/>
      <c r="L129" s="67">
        <f>H129</f>
        <v>0</v>
      </c>
      <c r="M129" s="29"/>
      <c r="N129" s="6"/>
    </row>
    <row r="130" spans="1:14" ht="15.75">
      <c r="A130" s="28"/>
      <c r="B130" s="29"/>
      <c r="C130" s="29"/>
      <c r="D130" s="29"/>
      <c r="E130" s="29"/>
      <c r="F130" s="29"/>
      <c r="G130" s="29"/>
      <c r="H130" s="29"/>
      <c r="I130" s="29"/>
      <c r="J130" s="29"/>
      <c r="K130" s="29"/>
      <c r="L130" s="29"/>
      <c r="M130" s="29"/>
      <c r="N130" s="6"/>
    </row>
    <row r="131" spans="1:14" ht="15.75">
      <c r="A131" s="28"/>
      <c r="B131" s="32"/>
      <c r="C131" s="32"/>
      <c r="D131" s="32"/>
      <c r="E131" s="32"/>
      <c r="F131" s="32"/>
      <c r="G131" s="32"/>
      <c r="H131" s="32"/>
      <c r="I131" s="32"/>
      <c r="J131" s="32"/>
      <c r="K131" s="32"/>
      <c r="L131" s="32"/>
      <c r="M131" s="32"/>
      <c r="N131" s="6"/>
    </row>
    <row r="132" spans="1:14" ht="15.75">
      <c r="A132" s="90"/>
      <c r="B132" s="63" t="s">
        <v>88</v>
      </c>
      <c r="C132" s="91"/>
      <c r="D132" s="91"/>
      <c r="E132" s="91"/>
      <c r="F132" s="91"/>
      <c r="G132" s="21"/>
      <c r="H132" s="21"/>
      <c r="I132" s="21"/>
      <c r="J132" s="21">
        <v>37315</v>
      </c>
      <c r="K132" s="17"/>
      <c r="L132" s="17"/>
      <c r="M132" s="9"/>
      <c r="N132" s="6"/>
    </row>
    <row r="133" spans="1:14" ht="15.75">
      <c r="A133" s="92"/>
      <c r="B133" s="93" t="s">
        <v>89</v>
      </c>
      <c r="C133" s="94"/>
      <c r="D133" s="94"/>
      <c r="E133" s="94"/>
      <c r="F133" s="94"/>
      <c r="G133" s="95"/>
      <c r="H133" s="95"/>
      <c r="I133" s="95"/>
      <c r="J133" s="96">
        <v>0.1226</v>
      </c>
      <c r="K133" s="29"/>
      <c r="L133" s="29"/>
      <c r="M133" s="29"/>
      <c r="N133" s="6"/>
    </row>
    <row r="134" spans="1:14" ht="15.75">
      <c r="A134" s="92"/>
      <c r="B134" s="93" t="s">
        <v>90</v>
      </c>
      <c r="C134" s="94"/>
      <c r="D134" s="94"/>
      <c r="E134" s="94"/>
      <c r="F134" s="94"/>
      <c r="G134" s="95"/>
      <c r="H134" s="95"/>
      <c r="I134" s="95"/>
      <c r="J134" s="96">
        <v>0.0582</v>
      </c>
      <c r="K134" s="96"/>
      <c r="L134" s="29"/>
      <c r="M134" s="29"/>
      <c r="N134" s="6"/>
    </row>
    <row r="135" spans="1:14" ht="15.75">
      <c r="A135" s="92"/>
      <c r="B135" s="93" t="s">
        <v>91</v>
      </c>
      <c r="C135" s="94"/>
      <c r="D135" s="94"/>
      <c r="E135" s="94"/>
      <c r="F135" s="94"/>
      <c r="G135" s="95"/>
      <c r="H135" s="95"/>
      <c r="I135" s="95"/>
      <c r="J135" s="96">
        <f>J133-J134</f>
        <v>0.0644</v>
      </c>
      <c r="K135" s="29"/>
      <c r="L135" s="29"/>
      <c r="M135" s="29"/>
      <c r="N135" s="6"/>
    </row>
    <row r="136" spans="1:14" ht="15.75">
      <c r="A136" s="92"/>
      <c r="B136" s="93" t="s">
        <v>92</v>
      </c>
      <c r="C136" s="94"/>
      <c r="D136" s="94"/>
      <c r="E136" s="94"/>
      <c r="F136" s="94"/>
      <c r="G136" s="95"/>
      <c r="H136" s="95"/>
      <c r="I136" s="95"/>
      <c r="J136" s="96">
        <v>0.1252</v>
      </c>
      <c r="K136" s="29"/>
      <c r="L136" s="29"/>
      <c r="M136" s="29"/>
      <c r="N136" s="6"/>
    </row>
    <row r="137" spans="1:14" ht="15.75">
      <c r="A137" s="92"/>
      <c r="B137" s="93" t="s">
        <v>93</v>
      </c>
      <c r="C137" s="94"/>
      <c r="D137" s="94"/>
      <c r="E137" s="94"/>
      <c r="F137" s="94"/>
      <c r="G137" s="95"/>
      <c r="H137" s="95"/>
      <c r="I137" s="95"/>
      <c r="J137" s="96">
        <f>L32</f>
        <v>0.04625177888446215</v>
      </c>
      <c r="K137" s="29"/>
      <c r="L137" s="29"/>
      <c r="M137" s="29"/>
      <c r="N137" s="6"/>
    </row>
    <row r="138" spans="1:14" ht="15.75">
      <c r="A138" s="92"/>
      <c r="B138" s="93" t="s">
        <v>94</v>
      </c>
      <c r="C138" s="94"/>
      <c r="D138" s="94"/>
      <c r="E138" s="94"/>
      <c r="F138" s="94"/>
      <c r="G138" s="95"/>
      <c r="H138" s="95"/>
      <c r="I138" s="95"/>
      <c r="J138" s="96">
        <f>J136-J137</f>
        <v>0.07894822111553786</v>
      </c>
      <c r="K138" s="29"/>
      <c r="L138" s="29"/>
      <c r="M138" s="29"/>
      <c r="N138" s="6"/>
    </row>
    <row r="139" spans="1:14" ht="15.75">
      <c r="A139" s="92"/>
      <c r="B139" s="93" t="s">
        <v>95</v>
      </c>
      <c r="C139" s="94"/>
      <c r="D139" s="94"/>
      <c r="E139" s="94"/>
      <c r="F139" s="94"/>
      <c r="G139" s="95"/>
      <c r="H139" s="95"/>
      <c r="I139" s="95"/>
      <c r="J139" s="96" t="s">
        <v>181</v>
      </c>
      <c r="K139" s="29"/>
      <c r="L139" s="29"/>
      <c r="M139" s="29"/>
      <c r="N139" s="6"/>
    </row>
    <row r="140" spans="1:14" ht="15.75">
      <c r="A140" s="92"/>
      <c r="B140" s="93" t="s">
        <v>96</v>
      </c>
      <c r="C140" s="94"/>
      <c r="D140" s="94"/>
      <c r="E140" s="94"/>
      <c r="F140" s="94"/>
      <c r="G140" s="95"/>
      <c r="H140" s="95"/>
      <c r="I140" s="95"/>
      <c r="J140" s="96" t="s">
        <v>182</v>
      </c>
      <c r="K140" s="29"/>
      <c r="L140" s="29"/>
      <c r="M140" s="29"/>
      <c r="N140" s="6"/>
    </row>
    <row r="141" spans="1:14" ht="15.75">
      <c r="A141" s="92"/>
      <c r="B141" s="93" t="s">
        <v>97</v>
      </c>
      <c r="C141" s="94"/>
      <c r="D141" s="94"/>
      <c r="E141" s="94"/>
      <c r="F141" s="94"/>
      <c r="G141" s="95"/>
      <c r="H141" s="95"/>
      <c r="I141" s="95"/>
      <c r="J141" s="96" t="s">
        <v>183</v>
      </c>
      <c r="K141" s="29"/>
      <c r="L141" s="29"/>
      <c r="M141" s="29"/>
      <c r="N141" s="6"/>
    </row>
    <row r="142" spans="1:14" ht="15.75">
      <c r="A142" s="92"/>
      <c r="B142" s="93" t="s">
        <v>98</v>
      </c>
      <c r="C142" s="94"/>
      <c r="D142" s="94"/>
      <c r="E142" s="94"/>
      <c r="F142" s="94"/>
      <c r="G142" s="95"/>
      <c r="H142" s="95"/>
      <c r="I142" s="95"/>
      <c r="J142" s="97">
        <v>4.08</v>
      </c>
      <c r="K142" s="29"/>
      <c r="L142" s="29"/>
      <c r="M142" s="29"/>
      <c r="N142" s="6"/>
    </row>
    <row r="143" spans="1:14" ht="15.75">
      <c r="A143" s="92"/>
      <c r="B143" s="93" t="s">
        <v>99</v>
      </c>
      <c r="C143" s="94"/>
      <c r="D143" s="94"/>
      <c r="E143" s="94"/>
      <c r="F143" s="94"/>
      <c r="G143" s="95"/>
      <c r="H143" s="95"/>
      <c r="I143" s="95"/>
      <c r="J143" s="97">
        <v>5.22</v>
      </c>
      <c r="K143" s="29"/>
      <c r="L143" s="29"/>
      <c r="M143" s="29"/>
      <c r="N143" s="6"/>
    </row>
    <row r="144" spans="1:14" ht="15.75">
      <c r="A144" s="92"/>
      <c r="B144" s="93" t="s">
        <v>100</v>
      </c>
      <c r="C144" s="94"/>
      <c r="D144" s="94"/>
      <c r="E144" s="94"/>
      <c r="F144" s="94"/>
      <c r="G144" s="95"/>
      <c r="H144" s="95"/>
      <c r="I144" s="95"/>
      <c r="J144" s="96">
        <v>0.1262</v>
      </c>
      <c r="K144" s="29"/>
      <c r="L144" s="29"/>
      <c r="M144" s="29"/>
      <c r="N144" s="6"/>
    </row>
    <row r="145" spans="1:14" ht="15.75">
      <c r="A145" s="92"/>
      <c r="B145" s="93" t="s">
        <v>101</v>
      </c>
      <c r="C145" s="94"/>
      <c r="D145" s="94"/>
      <c r="E145" s="94"/>
      <c r="F145" s="94"/>
      <c r="G145" s="95"/>
      <c r="H145" s="95"/>
      <c r="I145" s="95"/>
      <c r="J145" s="96">
        <v>0.4353</v>
      </c>
      <c r="K145" s="29"/>
      <c r="L145" s="29"/>
      <c r="M145" s="29"/>
      <c r="N145" s="6"/>
    </row>
    <row r="146" spans="1:14" ht="15.75">
      <c r="A146" s="92"/>
      <c r="B146" s="93"/>
      <c r="C146" s="93"/>
      <c r="D146" s="93"/>
      <c r="E146" s="93"/>
      <c r="F146" s="93"/>
      <c r="G146" s="29"/>
      <c r="H146" s="29"/>
      <c r="I146" s="36"/>
      <c r="J146" s="98"/>
      <c r="K146" s="29"/>
      <c r="L146" s="99"/>
      <c r="M146" s="29"/>
      <c r="N146" s="6"/>
    </row>
    <row r="147" spans="1:14" ht="15.75">
      <c r="A147" s="90"/>
      <c r="B147" s="100"/>
      <c r="C147" s="100"/>
      <c r="D147" s="100"/>
      <c r="E147" s="100"/>
      <c r="F147" s="100"/>
      <c r="G147" s="9"/>
      <c r="H147" s="9"/>
      <c r="I147" s="22"/>
      <c r="J147" s="101"/>
      <c r="K147" s="9"/>
      <c r="L147" s="102"/>
      <c r="M147" s="9"/>
      <c r="N147" s="6"/>
    </row>
    <row r="148" spans="1:14" ht="16.5" thickBot="1">
      <c r="A148" s="150"/>
      <c r="B148" s="145" t="str">
        <f>B97</f>
        <v>PPAF1 INVESTOR REPORT QUARTER ENDING FEBRUARY 2002</v>
      </c>
      <c r="C148" s="151"/>
      <c r="D148" s="151"/>
      <c r="E148" s="151"/>
      <c r="F148" s="151"/>
      <c r="G148" s="146"/>
      <c r="H148" s="146"/>
      <c r="I148" s="152"/>
      <c r="J148" s="153"/>
      <c r="K148" s="146"/>
      <c r="L148" s="154"/>
      <c r="M148" s="148"/>
      <c r="N148" s="6"/>
    </row>
    <row r="149" spans="1:14" ht="15.75">
      <c r="A149" s="103"/>
      <c r="B149" s="104"/>
      <c r="C149" s="105"/>
      <c r="D149" s="106"/>
      <c r="E149" s="105"/>
      <c r="F149" s="106"/>
      <c r="G149" s="105"/>
      <c r="H149" s="106"/>
      <c r="I149" s="105"/>
      <c r="J149" s="106"/>
      <c r="K149" s="107"/>
      <c r="L149" s="107"/>
      <c r="M149" s="5"/>
      <c r="N149" s="6"/>
    </row>
    <row r="150" spans="1:14" ht="15.75">
      <c r="A150" s="108"/>
      <c r="B150" s="93" t="s">
        <v>103</v>
      </c>
      <c r="C150" s="68"/>
      <c r="D150" s="68"/>
      <c r="E150" s="68"/>
      <c r="F150" s="29"/>
      <c r="G150" s="29"/>
      <c r="H150" s="29"/>
      <c r="I150" s="29">
        <v>349</v>
      </c>
      <c r="J150" s="67">
        <v>2082</v>
      </c>
      <c r="K150" s="67"/>
      <c r="L150" s="99"/>
      <c r="M150" s="109"/>
      <c r="N150" s="6"/>
    </row>
    <row r="151" spans="1:14" ht="15.75">
      <c r="A151" s="108"/>
      <c r="B151" s="93" t="s">
        <v>104</v>
      </c>
      <c r="C151" s="68"/>
      <c r="D151" s="68"/>
      <c r="E151" s="68"/>
      <c r="F151" s="29"/>
      <c r="G151" s="29"/>
      <c r="H151" s="29"/>
      <c r="I151" s="29">
        <v>6</v>
      </c>
      <c r="J151" s="67">
        <v>55</v>
      </c>
      <c r="K151" s="67"/>
      <c r="L151" s="99"/>
      <c r="M151" s="109"/>
      <c r="N151" s="6"/>
    </row>
    <row r="152" spans="1:14" ht="15.75">
      <c r="A152" s="108"/>
      <c r="B152" s="168" t="s">
        <v>105</v>
      </c>
      <c r="C152" s="68"/>
      <c r="D152" s="68"/>
      <c r="E152" s="68"/>
      <c r="F152" s="29"/>
      <c r="G152" s="29"/>
      <c r="H152" s="29"/>
      <c r="I152" s="29"/>
      <c r="J152" s="110">
        <v>0</v>
      </c>
      <c r="K152" s="29"/>
      <c r="L152" s="99"/>
      <c r="M152" s="109"/>
      <c r="N152" s="6"/>
    </row>
    <row r="153" spans="1:14" ht="15.75">
      <c r="A153" s="108"/>
      <c r="B153" s="168" t="s">
        <v>106</v>
      </c>
      <c r="C153" s="68"/>
      <c r="D153" s="68"/>
      <c r="E153" s="68"/>
      <c r="F153" s="29"/>
      <c r="G153" s="29"/>
      <c r="H153" s="29"/>
      <c r="I153" s="29"/>
      <c r="J153" s="67">
        <f>H67</f>
        <v>42176</v>
      </c>
      <c r="K153" s="29"/>
      <c r="L153" s="99"/>
      <c r="M153" s="109"/>
      <c r="N153" s="6"/>
    </row>
    <row r="154" spans="1:14" ht="15.75">
      <c r="A154" s="111"/>
      <c r="B154" s="168" t="s">
        <v>107</v>
      </c>
      <c r="C154" s="68"/>
      <c r="D154" s="93"/>
      <c r="E154" s="93"/>
      <c r="F154" s="93"/>
      <c r="G154" s="29"/>
      <c r="H154" s="29"/>
      <c r="I154" s="29"/>
      <c r="J154" s="112"/>
      <c r="K154" s="29"/>
      <c r="L154" s="99"/>
      <c r="M154" s="113"/>
      <c r="N154" s="6"/>
    </row>
    <row r="155" spans="1:14" ht="15.75">
      <c r="A155" s="108"/>
      <c r="B155" s="93" t="s">
        <v>108</v>
      </c>
      <c r="C155" s="68"/>
      <c r="D155" s="68"/>
      <c r="E155" s="68"/>
      <c r="F155" s="68"/>
      <c r="G155" s="29"/>
      <c r="H155" s="29"/>
      <c r="I155" s="29"/>
      <c r="J155" s="67">
        <f>L116</f>
        <v>2996</v>
      </c>
      <c r="K155" s="29"/>
      <c r="L155" s="99"/>
      <c r="M155" s="113"/>
      <c r="N155" s="6"/>
    </row>
    <row r="156" spans="1:14" ht="15.75">
      <c r="A156" s="108"/>
      <c r="B156" s="93" t="s">
        <v>109</v>
      </c>
      <c r="C156" s="68"/>
      <c r="D156" s="68"/>
      <c r="E156" s="68"/>
      <c r="F156" s="68"/>
      <c r="G156" s="29"/>
      <c r="H156" s="29"/>
      <c r="I156" s="29"/>
      <c r="J156" s="67">
        <f>L116+'Nov 01'!J156</f>
        <v>7927</v>
      </c>
      <c r="K156" s="29"/>
      <c r="L156" s="99"/>
      <c r="M156" s="113"/>
      <c r="N156" s="6"/>
    </row>
    <row r="157" spans="1:14" ht="15.75">
      <c r="A157" s="108"/>
      <c r="B157" s="93" t="s">
        <v>110</v>
      </c>
      <c r="C157" s="68"/>
      <c r="D157" s="68"/>
      <c r="E157" s="68"/>
      <c r="F157" s="68"/>
      <c r="G157" s="29"/>
      <c r="H157" s="29"/>
      <c r="I157" s="29"/>
      <c r="J157" s="67"/>
      <c r="K157" s="29"/>
      <c r="L157" s="99"/>
      <c r="M157" s="113"/>
      <c r="N157" s="6"/>
    </row>
    <row r="158" spans="1:14" ht="15.75">
      <c r="A158" s="108"/>
      <c r="B158" s="93"/>
      <c r="C158" s="68"/>
      <c r="D158" s="68"/>
      <c r="E158" s="68"/>
      <c r="F158" s="68"/>
      <c r="G158" s="29"/>
      <c r="H158" s="29"/>
      <c r="I158" s="29"/>
      <c r="J158" s="67"/>
      <c r="K158" s="29"/>
      <c r="L158" s="99"/>
      <c r="M158" s="113"/>
      <c r="N158" s="6"/>
    </row>
    <row r="159" spans="1:14" ht="15.75">
      <c r="A159" s="111"/>
      <c r="B159" s="168" t="s">
        <v>111</v>
      </c>
      <c r="C159" s="68"/>
      <c r="D159" s="93"/>
      <c r="E159" s="93"/>
      <c r="F159" s="93"/>
      <c r="G159" s="29"/>
      <c r="H159" s="29"/>
      <c r="I159" s="29"/>
      <c r="J159" s="89"/>
      <c r="K159" s="29"/>
      <c r="L159" s="99"/>
      <c r="M159" s="113"/>
      <c r="N159" s="6"/>
    </row>
    <row r="160" spans="1:14" ht="15.75">
      <c r="A160" s="111"/>
      <c r="B160" s="93" t="s">
        <v>112</v>
      </c>
      <c r="C160" s="68"/>
      <c r="D160" s="93"/>
      <c r="E160" s="93"/>
      <c r="F160" s="93"/>
      <c r="G160" s="29"/>
      <c r="H160" s="29"/>
      <c r="I160" s="29"/>
      <c r="J160" s="89">
        <v>0</v>
      </c>
      <c r="K160" s="29"/>
      <c r="L160" s="99"/>
      <c r="M160" s="113"/>
      <c r="N160" s="6"/>
    </row>
    <row r="161" spans="1:14" ht="15.75">
      <c r="A161" s="108"/>
      <c r="B161" s="93" t="s">
        <v>113</v>
      </c>
      <c r="C161" s="68"/>
      <c r="D161" s="114"/>
      <c r="E161" s="114"/>
      <c r="F161" s="115"/>
      <c r="G161" s="29"/>
      <c r="H161" s="29"/>
      <c r="I161" s="29"/>
      <c r="J161" s="89">
        <v>0</v>
      </c>
      <c r="K161" s="29"/>
      <c r="L161" s="99"/>
      <c r="M161" s="113"/>
      <c r="N161" s="6"/>
    </row>
    <row r="162" spans="1:14" ht="15.75">
      <c r="A162" s="108"/>
      <c r="B162" s="93" t="s">
        <v>114</v>
      </c>
      <c r="C162" s="68"/>
      <c r="D162" s="114"/>
      <c r="E162" s="114"/>
      <c r="F162" s="115"/>
      <c r="G162" s="29"/>
      <c r="H162" s="29"/>
      <c r="I162" s="29"/>
      <c r="J162" s="89">
        <v>0</v>
      </c>
      <c r="K162" s="29"/>
      <c r="L162" s="99"/>
      <c r="M162" s="113"/>
      <c r="N162" s="6"/>
    </row>
    <row r="163" spans="1:14" ht="15.75">
      <c r="A163" s="108"/>
      <c r="B163" s="93" t="s">
        <v>115</v>
      </c>
      <c r="C163" s="68"/>
      <c r="D163" s="116"/>
      <c r="E163" s="114"/>
      <c r="F163" s="115"/>
      <c r="G163" s="29"/>
      <c r="H163" s="29"/>
      <c r="I163" s="29"/>
      <c r="J163" s="89">
        <v>0</v>
      </c>
      <c r="K163" s="29"/>
      <c r="L163" s="99"/>
      <c r="M163" s="113"/>
      <c r="N163" s="6"/>
    </row>
    <row r="164" spans="1:14" ht="15.75">
      <c r="A164" s="108"/>
      <c r="B164" s="93"/>
      <c r="C164" s="68"/>
      <c r="D164" s="116"/>
      <c r="E164" s="114"/>
      <c r="F164" s="115"/>
      <c r="G164" s="29"/>
      <c r="H164" s="29"/>
      <c r="I164" s="29"/>
      <c r="J164" s="89"/>
      <c r="K164" s="29"/>
      <c r="L164" s="99"/>
      <c r="M164" s="113"/>
      <c r="N164" s="6"/>
    </row>
    <row r="165" spans="1:14" ht="15.75">
      <c r="A165" s="108"/>
      <c r="B165" s="168" t="s">
        <v>116</v>
      </c>
      <c r="C165" s="68"/>
      <c r="D165" s="68"/>
      <c r="E165" s="116"/>
      <c r="F165" s="114"/>
      <c r="G165" s="115"/>
      <c r="H165" s="29"/>
      <c r="I165" s="36"/>
      <c r="J165" s="36"/>
      <c r="K165" s="117"/>
      <c r="L165" s="36"/>
      <c r="M165" s="99"/>
      <c r="N165" s="6"/>
    </row>
    <row r="166" spans="1:14" ht="15.75">
      <c r="A166" s="108"/>
      <c r="B166" s="93" t="s">
        <v>117</v>
      </c>
      <c r="C166" s="68"/>
      <c r="D166" s="68"/>
      <c r="E166" s="116"/>
      <c r="F166" s="114"/>
      <c r="G166" s="115"/>
      <c r="H166" s="29"/>
      <c r="I166" s="36"/>
      <c r="J166" s="118">
        <v>8</v>
      </c>
      <c r="K166" s="118"/>
      <c r="L166" s="36"/>
      <c r="M166" s="99"/>
      <c r="N166" s="6"/>
    </row>
    <row r="167" spans="1:14" ht="15.75">
      <c r="A167" s="108"/>
      <c r="B167" s="93" t="s">
        <v>113</v>
      </c>
      <c r="C167" s="68"/>
      <c r="D167" s="68"/>
      <c r="E167" s="116"/>
      <c r="F167" s="114"/>
      <c r="G167" s="115"/>
      <c r="H167" s="29"/>
      <c r="I167" s="36"/>
      <c r="J167" s="118">
        <v>3</v>
      </c>
      <c r="K167" s="118"/>
      <c r="L167" s="36"/>
      <c r="M167" s="99"/>
      <c r="N167" s="6"/>
    </row>
    <row r="168" spans="1:14" ht="15.75">
      <c r="A168" s="108"/>
      <c r="B168" s="93" t="s">
        <v>118</v>
      </c>
      <c r="C168" s="68"/>
      <c r="D168" s="68"/>
      <c r="E168" s="116"/>
      <c r="F168" s="114"/>
      <c r="G168" s="115"/>
      <c r="H168" s="29"/>
      <c r="I168" s="36"/>
      <c r="J168" s="118">
        <v>33</v>
      </c>
      <c r="K168" s="118"/>
      <c r="L168" s="36"/>
      <c r="M168" s="99"/>
      <c r="N168" s="6"/>
    </row>
    <row r="169" spans="1:14" ht="15.75">
      <c r="A169" s="108"/>
      <c r="B169" s="93"/>
      <c r="C169" s="68"/>
      <c r="D169" s="116"/>
      <c r="E169" s="114"/>
      <c r="F169" s="115"/>
      <c r="G169" s="29"/>
      <c r="H169" s="29"/>
      <c r="I169" s="29"/>
      <c r="J169" s="89"/>
      <c r="K169" s="29"/>
      <c r="L169" s="99"/>
      <c r="M169" s="113"/>
      <c r="N169" s="6"/>
    </row>
    <row r="170" spans="1:14" ht="15.75">
      <c r="A170" s="28"/>
      <c r="B170" s="119" t="s">
        <v>119</v>
      </c>
      <c r="C170" s="120"/>
      <c r="D170" s="121"/>
      <c r="E170" s="120"/>
      <c r="F170" s="121"/>
      <c r="G170" s="120"/>
      <c r="H170" s="121"/>
      <c r="I170" s="120"/>
      <c r="J170" s="121"/>
      <c r="K170" s="120"/>
      <c r="L170" s="122"/>
      <c r="M170" s="113"/>
      <c r="N170" s="6"/>
    </row>
    <row r="171" spans="1:14" ht="15.75">
      <c r="A171" s="28"/>
      <c r="B171" s="33"/>
      <c r="C171" s="84"/>
      <c r="D171" s="119" t="s">
        <v>151</v>
      </c>
      <c r="E171" s="120"/>
      <c r="F171" s="121"/>
      <c r="G171" s="120"/>
      <c r="H171" s="119" t="s">
        <v>39</v>
      </c>
      <c r="I171" s="120"/>
      <c r="J171" s="121"/>
      <c r="K171" s="120"/>
      <c r="L171" s="122"/>
      <c r="M171" s="113"/>
      <c r="N171" s="6"/>
    </row>
    <row r="172" spans="1:14" ht="15.75">
      <c r="A172" s="28"/>
      <c r="B172" s="84"/>
      <c r="C172" s="121" t="s">
        <v>141</v>
      </c>
      <c r="D172" s="120" t="s">
        <v>152</v>
      </c>
      <c r="E172" s="121" t="s">
        <v>157</v>
      </c>
      <c r="F172" s="120" t="s">
        <v>152</v>
      </c>
      <c r="G172" s="120"/>
      <c r="H172" s="121" t="s">
        <v>141</v>
      </c>
      <c r="I172" s="120" t="s">
        <v>152</v>
      </c>
      <c r="J172" s="121" t="s">
        <v>157</v>
      </c>
      <c r="K172" s="120" t="s">
        <v>152</v>
      </c>
      <c r="L172" s="122"/>
      <c r="M172" s="113"/>
      <c r="N172" s="6"/>
    </row>
    <row r="173" spans="1:14" ht="15.75">
      <c r="A173" s="28"/>
      <c r="B173" s="68" t="s">
        <v>120</v>
      </c>
      <c r="C173" s="123">
        <f>1547+8537</f>
        <v>10084</v>
      </c>
      <c r="D173" s="96">
        <f>C173/C177</f>
        <v>0.8279825929879301</v>
      </c>
      <c r="E173" s="123">
        <f>12796+41054</f>
        <v>53850</v>
      </c>
      <c r="F173" s="96">
        <f>E173/E177</f>
        <v>0.8265794805673237</v>
      </c>
      <c r="G173" s="120"/>
      <c r="H173" s="123">
        <v>52751</v>
      </c>
      <c r="I173" s="96">
        <f>H173/H177</f>
        <v>0.941561802766622</v>
      </c>
      <c r="J173" s="123">
        <v>39730</v>
      </c>
      <c r="K173" s="96">
        <f>J173/J177</f>
        <v>0.9335714453556406</v>
      </c>
      <c r="L173" s="122"/>
      <c r="M173" s="113"/>
      <c r="N173" s="6"/>
    </row>
    <row r="174" spans="1:14" ht="15.75">
      <c r="A174" s="28"/>
      <c r="B174" s="68" t="s">
        <v>121</v>
      </c>
      <c r="C174" s="123">
        <f>5+197</f>
        <v>202</v>
      </c>
      <c r="D174" s="96">
        <f>C174/C177</f>
        <v>0.016585926594958535</v>
      </c>
      <c r="E174" s="123">
        <f>31+864</f>
        <v>895</v>
      </c>
      <c r="F174" s="96">
        <f>E174/$E$177</f>
        <v>0.013737950512678824</v>
      </c>
      <c r="G174" s="120"/>
      <c r="H174" s="123">
        <v>545</v>
      </c>
      <c r="I174" s="96">
        <f>H174/$H$177</f>
        <v>0.009727800089245873</v>
      </c>
      <c r="J174" s="123">
        <v>387</v>
      </c>
      <c r="K174" s="96">
        <f>J174/$J$177</f>
        <v>0.0090936861150927</v>
      </c>
      <c r="L174" s="122"/>
      <c r="M174" s="113"/>
      <c r="N174" s="6"/>
    </row>
    <row r="175" spans="1:14" ht="15.75">
      <c r="A175" s="28"/>
      <c r="B175" s="68" t="s">
        <v>122</v>
      </c>
      <c r="C175" s="123">
        <f>5+158</f>
        <v>163</v>
      </c>
      <c r="D175" s="96">
        <f>C175/$C$177</f>
        <v>0.01338369324246654</v>
      </c>
      <c r="E175" s="123">
        <f>30+821</f>
        <v>851</v>
      </c>
      <c r="F175" s="96">
        <f>E175/$E$177</f>
        <v>0.013062565236077853</v>
      </c>
      <c r="G175" s="120"/>
      <c r="H175" s="123">
        <v>414</v>
      </c>
      <c r="I175" s="96">
        <f>H175/$H$177</f>
        <v>0.007389558232931727</v>
      </c>
      <c r="J175" s="123">
        <v>348</v>
      </c>
      <c r="K175" s="96">
        <f>J175/$J$177</f>
        <v>0.008177268134501961</v>
      </c>
      <c r="L175" s="122"/>
      <c r="M175" s="113"/>
      <c r="N175" s="6"/>
    </row>
    <row r="176" spans="1:14" ht="15.75">
      <c r="A176" s="28"/>
      <c r="B176" s="68" t="s">
        <v>123</v>
      </c>
      <c r="C176" s="123">
        <f>3+157+1+157+140+169+171+166+191+189+180+201+5</f>
        <v>1730</v>
      </c>
      <c r="D176" s="96">
        <f>C176/$C$177</f>
        <v>0.1420477871746449</v>
      </c>
      <c r="E176" s="123">
        <f>12873+68031-15756-E175-E174-E173</f>
        <v>9552</v>
      </c>
      <c r="F176" s="96">
        <f>E176/$E$177</f>
        <v>0.1466200036839197</v>
      </c>
      <c r="G176" s="120"/>
      <c r="H176" s="123">
        <f>299+282+301+212+225+252+275+193+276</f>
        <v>2315</v>
      </c>
      <c r="I176" s="96">
        <f>H176/$H$177</f>
        <v>0.04132083891120036</v>
      </c>
      <c r="J176" s="123">
        <f>44330-1773-J175-J174-J173</f>
        <v>2092</v>
      </c>
      <c r="K176" s="96">
        <f>J176/$J$177</f>
        <v>0.04915760039476467</v>
      </c>
      <c r="L176" s="122"/>
      <c r="M176" s="113"/>
      <c r="N176" s="6"/>
    </row>
    <row r="177" spans="1:14" ht="15.75">
      <c r="A177" s="28"/>
      <c r="B177" s="68" t="s">
        <v>124</v>
      </c>
      <c r="C177" s="123">
        <f>SUM(C173:C176)</f>
        <v>12179</v>
      </c>
      <c r="D177" s="96">
        <f>SUM(D173:D176)</f>
        <v>1</v>
      </c>
      <c r="E177" s="123">
        <f>SUM(E173:E176)</f>
        <v>65148</v>
      </c>
      <c r="F177" s="96">
        <f>SUM(F173:F176)</f>
        <v>1</v>
      </c>
      <c r="G177" s="120"/>
      <c r="H177" s="123">
        <f>SUM(H173:H176)</f>
        <v>56025</v>
      </c>
      <c r="I177" s="96">
        <f>SUM(I173:I176)</f>
        <v>1</v>
      </c>
      <c r="J177" s="123">
        <f>SUM(J173:J176)</f>
        <v>42557</v>
      </c>
      <c r="K177" s="96">
        <f>SUM(K173:K176)</f>
        <v>0.9999999999999999</v>
      </c>
      <c r="L177" s="122"/>
      <c r="M177" s="113"/>
      <c r="N177" s="6"/>
    </row>
    <row r="178" spans="1:14" ht="15.75">
      <c r="A178" s="28"/>
      <c r="B178" s="68" t="s">
        <v>125</v>
      </c>
      <c r="C178" s="123">
        <v>2351</v>
      </c>
      <c r="D178" s="124"/>
      <c r="E178" s="123">
        <v>15757</v>
      </c>
      <c r="F178" s="124"/>
      <c r="G178" s="120"/>
      <c r="H178" s="123">
        <v>1345</v>
      </c>
      <c r="I178" s="124"/>
      <c r="J178" s="123">
        <v>1773</v>
      </c>
      <c r="K178" s="124"/>
      <c r="L178" s="122"/>
      <c r="M178" s="113"/>
      <c r="N178" s="6"/>
    </row>
    <row r="179" spans="1:14" ht="15.75">
      <c r="A179" s="28"/>
      <c r="B179" s="68" t="s">
        <v>126</v>
      </c>
      <c r="C179" s="123">
        <f>SUM(C177:C178)</f>
        <v>14530</v>
      </c>
      <c r="D179" s="84"/>
      <c r="E179" s="123">
        <f>SUM(E177:E178)</f>
        <v>80905</v>
      </c>
      <c r="F179" s="96"/>
      <c r="G179" s="84"/>
      <c r="H179" s="123">
        <f>SUM(H177:H178)</f>
        <v>57370</v>
      </c>
      <c r="I179" s="84"/>
      <c r="J179" s="123">
        <f>SUM(J177:J178)</f>
        <v>44330</v>
      </c>
      <c r="K179" s="84"/>
      <c r="L179" s="84"/>
      <c r="M179" s="113"/>
      <c r="N179" s="6"/>
    </row>
    <row r="180" spans="1:14" ht="15.75">
      <c r="A180" s="28"/>
      <c r="B180" s="68"/>
      <c r="C180" s="123"/>
      <c r="D180" s="96"/>
      <c r="E180" s="123"/>
      <c r="F180" s="96"/>
      <c r="G180" s="120"/>
      <c r="H180" s="123"/>
      <c r="I180" s="96"/>
      <c r="J180" s="123"/>
      <c r="K180" s="96"/>
      <c r="L180" s="122"/>
      <c r="M180" s="113"/>
      <c r="N180" s="6"/>
    </row>
    <row r="181" spans="1:14" ht="15.75">
      <c r="A181" s="28"/>
      <c r="B181" s="68"/>
      <c r="C181" s="120"/>
      <c r="D181" s="119" t="s">
        <v>40</v>
      </c>
      <c r="E181" s="120"/>
      <c r="F181" s="125"/>
      <c r="G181" s="120"/>
      <c r="H181" s="119" t="s">
        <v>41</v>
      </c>
      <c r="I181" s="120"/>
      <c r="J181" s="121"/>
      <c r="K181" s="120"/>
      <c r="L181" s="122"/>
      <c r="M181" s="113"/>
      <c r="N181" s="6"/>
    </row>
    <row r="182" spans="1:14" ht="15.75">
      <c r="A182" s="28"/>
      <c r="B182" s="84"/>
      <c r="C182" s="121" t="s">
        <v>141</v>
      </c>
      <c r="D182" s="120" t="s">
        <v>152</v>
      </c>
      <c r="E182" s="121" t="s">
        <v>157</v>
      </c>
      <c r="F182" s="120" t="s">
        <v>152</v>
      </c>
      <c r="G182" s="120"/>
      <c r="H182" s="121" t="s">
        <v>141</v>
      </c>
      <c r="I182" s="120" t="s">
        <v>152</v>
      </c>
      <c r="J182" s="121" t="s">
        <v>157</v>
      </c>
      <c r="K182" s="120" t="s">
        <v>152</v>
      </c>
      <c r="L182" s="122"/>
      <c r="M182" s="113"/>
      <c r="N182" s="6"/>
    </row>
    <row r="183" spans="1:14" ht="15.75">
      <c r="A183" s="28"/>
      <c r="B183" s="68" t="s">
        <v>120</v>
      </c>
      <c r="C183" s="123">
        <v>4224</v>
      </c>
      <c r="D183" s="96">
        <f>C183/C187</f>
        <v>0.958692691783931</v>
      </c>
      <c r="E183" s="123">
        <v>61051</v>
      </c>
      <c r="F183" s="96">
        <f>E183/E187</f>
        <v>0.965462164940302</v>
      </c>
      <c r="G183" s="120"/>
      <c r="H183" s="123">
        <v>6911</v>
      </c>
      <c r="I183" s="96">
        <f>H183/H187</f>
        <v>0.9786179552534693</v>
      </c>
      <c r="J183" s="123">
        <v>45946</v>
      </c>
      <c r="K183" s="96">
        <f>J183/J187</f>
        <v>0.9858387332103162</v>
      </c>
      <c r="L183" s="122"/>
      <c r="M183" s="113"/>
      <c r="N183" s="6"/>
    </row>
    <row r="184" spans="1:14" ht="15.75">
      <c r="A184" s="28"/>
      <c r="B184" s="68" t="s">
        <v>121</v>
      </c>
      <c r="C184" s="123">
        <v>78</v>
      </c>
      <c r="D184" s="96">
        <f>C184/$C$187</f>
        <v>0.017703132092601</v>
      </c>
      <c r="E184" s="123">
        <v>1185</v>
      </c>
      <c r="F184" s="96">
        <f>E184/$E$187</f>
        <v>0.018739622044753698</v>
      </c>
      <c r="G184" s="120"/>
      <c r="H184" s="123">
        <v>30</v>
      </c>
      <c r="I184" s="96">
        <f>H184/$H$187</f>
        <v>0.004248088360237893</v>
      </c>
      <c r="J184" s="123">
        <v>193</v>
      </c>
      <c r="K184" s="96">
        <f>J184/$J$187</f>
        <v>0.004141097712740849</v>
      </c>
      <c r="L184" s="122"/>
      <c r="M184" s="113"/>
      <c r="N184" s="6"/>
    </row>
    <row r="185" spans="1:14" ht="15.75">
      <c r="A185" s="28"/>
      <c r="B185" s="68" t="s">
        <v>122</v>
      </c>
      <c r="C185" s="123">
        <v>38</v>
      </c>
      <c r="D185" s="96">
        <f>C185/$C$187</f>
        <v>0.008624602814344077</v>
      </c>
      <c r="E185" s="123">
        <v>556</v>
      </c>
      <c r="F185" s="96">
        <f>E185/$E$187</f>
        <v>0.00879259903534435</v>
      </c>
      <c r="G185" s="120"/>
      <c r="H185" s="123">
        <v>14</v>
      </c>
      <c r="I185" s="96">
        <f>H185/$H$187</f>
        <v>0.0019824412347776836</v>
      </c>
      <c r="J185" s="123">
        <v>155</v>
      </c>
      <c r="K185" s="96">
        <f>J185/$J$187</f>
        <v>0.0033257520490923916</v>
      </c>
      <c r="L185" s="122"/>
      <c r="M185" s="113"/>
      <c r="N185" s="6"/>
    </row>
    <row r="186" spans="1:14" ht="15.75">
      <c r="A186" s="28"/>
      <c r="B186" s="68" t="s">
        <v>123</v>
      </c>
      <c r="C186" s="123">
        <f>13+3+5+2+2+3+1+37</f>
        <v>66</v>
      </c>
      <c r="D186" s="96">
        <f>C186/$C$187</f>
        <v>0.014979573309123922</v>
      </c>
      <c r="E186" s="123">
        <f>63235-E185-E184-E183</f>
        <v>443</v>
      </c>
      <c r="F186" s="96">
        <f>E186/$E$187</f>
        <v>0.0070056139795999055</v>
      </c>
      <c r="G186" s="120"/>
      <c r="H186" s="123">
        <f>11+4+6+3+1+1+1+80</f>
        <v>107</v>
      </c>
      <c r="I186" s="96">
        <f>H186/$H$187</f>
        <v>0.015151515151515152</v>
      </c>
      <c r="J186" s="123">
        <f>46606-J185-J184-J183</f>
        <v>312</v>
      </c>
      <c r="K186" s="96">
        <f>J186/$J$187</f>
        <v>0.006694417027850491</v>
      </c>
      <c r="L186" s="122"/>
      <c r="M186" s="113"/>
      <c r="N186" s="6"/>
    </row>
    <row r="187" spans="1:14" ht="15.75">
      <c r="A187" s="28"/>
      <c r="B187" s="68" t="str">
        <f>B177</f>
        <v>Total Performing  Assets</v>
      </c>
      <c r="C187" s="123">
        <f>SUM(C183:C186)</f>
        <v>4406</v>
      </c>
      <c r="D187" s="96">
        <f>SUM(D183:D186)</f>
        <v>1</v>
      </c>
      <c r="E187" s="123">
        <f>SUM(E183:E186)</f>
        <v>63235</v>
      </c>
      <c r="F187" s="96">
        <f>SUM(F183:F186)</f>
        <v>0.9999999999999999</v>
      </c>
      <c r="G187" s="120"/>
      <c r="H187" s="123">
        <f>SUM(H183:H186)</f>
        <v>7062</v>
      </c>
      <c r="I187" s="96">
        <f>SUM(I183:I186)</f>
        <v>1</v>
      </c>
      <c r="J187" s="123">
        <f>SUM(J183:J186)</f>
        <v>46606</v>
      </c>
      <c r="K187" s="96">
        <f>SUM(K183:K186)</f>
        <v>0.9999999999999999</v>
      </c>
      <c r="L187" s="122"/>
      <c r="M187" s="113"/>
      <c r="N187" s="6"/>
    </row>
    <row r="188" spans="1:14" ht="15.75">
      <c r="A188" s="28"/>
      <c r="B188" s="68" t="s">
        <v>125</v>
      </c>
      <c r="C188" s="123">
        <v>0</v>
      </c>
      <c r="D188" s="126"/>
      <c r="E188" s="123">
        <v>0</v>
      </c>
      <c r="F188" s="124"/>
      <c r="G188" s="120"/>
      <c r="H188" s="123">
        <v>4</v>
      </c>
      <c r="I188" s="126"/>
      <c r="J188" s="123">
        <v>36</v>
      </c>
      <c r="K188" s="126"/>
      <c r="L188" s="122"/>
      <c r="M188" s="113"/>
      <c r="N188" s="6"/>
    </row>
    <row r="189" spans="1:14" ht="15.75">
      <c r="A189" s="28"/>
      <c r="B189" s="68" t="s">
        <v>126</v>
      </c>
      <c r="C189" s="123">
        <f>SUM(C187:C188)</f>
        <v>4406</v>
      </c>
      <c r="D189" s="84"/>
      <c r="E189" s="123">
        <f>SUM(E187:E188)</f>
        <v>63235</v>
      </c>
      <c r="F189" s="127"/>
      <c r="G189" s="84"/>
      <c r="H189" s="123">
        <f>SUM(H187:H188)</f>
        <v>7066</v>
      </c>
      <c r="I189" s="84"/>
      <c r="J189" s="123">
        <f>SUM(J187:J188)</f>
        <v>46642</v>
      </c>
      <c r="K189" s="84"/>
      <c r="L189" s="84"/>
      <c r="M189" s="84"/>
      <c r="N189" s="6"/>
    </row>
    <row r="190" spans="1:14" ht="15.75">
      <c r="A190" s="28"/>
      <c r="B190" s="68"/>
      <c r="C190" s="120"/>
      <c r="D190" s="121"/>
      <c r="E190" s="120"/>
      <c r="F190" s="121"/>
      <c r="G190" s="120"/>
      <c r="H190" s="128"/>
      <c r="I190" s="120"/>
      <c r="J190" s="123"/>
      <c r="K190" s="120"/>
      <c r="L190" s="122"/>
      <c r="M190" s="113"/>
      <c r="N190" s="6"/>
    </row>
    <row r="191" spans="1:14" ht="15.75">
      <c r="A191" s="28"/>
      <c r="B191" s="68" t="s">
        <v>126</v>
      </c>
      <c r="C191" s="120"/>
      <c r="D191" s="121"/>
      <c r="E191" s="120"/>
      <c r="F191" s="121"/>
      <c r="G191" s="120"/>
      <c r="H191" s="128"/>
      <c r="I191" s="126"/>
      <c r="J191" s="123">
        <f>E179+J179+E189+J189</f>
        <v>235112</v>
      </c>
      <c r="K191" s="127"/>
      <c r="L191" s="122"/>
      <c r="M191" s="113"/>
      <c r="N191" s="6"/>
    </row>
    <row r="192" spans="1:14" ht="15.75">
      <c r="A192" s="28"/>
      <c r="B192" s="68"/>
      <c r="C192" s="120"/>
      <c r="D192" s="121"/>
      <c r="E192" s="120"/>
      <c r="F192" s="121"/>
      <c r="G192" s="120"/>
      <c r="H192" s="121"/>
      <c r="I192" s="120"/>
      <c r="J192" s="123"/>
      <c r="K192" s="126"/>
      <c r="L192" s="122"/>
      <c r="M192" s="113"/>
      <c r="N192" s="6"/>
    </row>
    <row r="193" spans="1:14" ht="15.75">
      <c r="A193" s="28"/>
      <c r="B193" s="129" t="s">
        <v>127</v>
      </c>
      <c r="C193" s="120"/>
      <c r="D193" s="121"/>
      <c r="E193" s="120"/>
      <c r="F193" s="121"/>
      <c r="G193" s="120"/>
      <c r="H193" s="121"/>
      <c r="I193" s="120"/>
      <c r="J193" s="123"/>
      <c r="K193" s="120"/>
      <c r="L193" s="122"/>
      <c r="M193" s="113"/>
      <c r="N193" s="6"/>
    </row>
    <row r="194" spans="1:14" ht="15.75">
      <c r="A194" s="28"/>
      <c r="B194" s="68"/>
      <c r="C194" s="120"/>
      <c r="D194" s="121"/>
      <c r="E194" s="120"/>
      <c r="F194" s="121"/>
      <c r="G194" s="120"/>
      <c r="H194" s="121"/>
      <c r="I194" s="120"/>
      <c r="J194" s="123"/>
      <c r="K194" s="120"/>
      <c r="L194" s="122"/>
      <c r="M194" s="113"/>
      <c r="N194" s="6"/>
    </row>
    <row r="195" spans="1:14" ht="15.75">
      <c r="A195" s="28"/>
      <c r="B195" s="68" t="s">
        <v>128</v>
      </c>
      <c r="C195" s="120"/>
      <c r="D195" s="121"/>
      <c r="E195" s="120"/>
      <c r="F195" s="121"/>
      <c r="G195" s="120"/>
      <c r="H195" s="121"/>
      <c r="I195" s="120"/>
      <c r="J195" s="123">
        <f>E177+J177+E187+J187</f>
        <v>217546</v>
      </c>
      <c r="K195" s="120"/>
      <c r="L195" s="122"/>
      <c r="M195" s="113"/>
      <c r="N195" s="6"/>
    </row>
    <row r="196" spans="1:14" ht="15.75">
      <c r="A196" s="28"/>
      <c r="B196" s="68" t="s">
        <v>129</v>
      </c>
      <c r="C196" s="120"/>
      <c r="D196" s="121"/>
      <c r="E196" s="120"/>
      <c r="F196" s="121"/>
      <c r="G196" s="120"/>
      <c r="H196" s="121"/>
      <c r="I196" s="120"/>
      <c r="J196" s="123">
        <f>L93</f>
        <v>35243</v>
      </c>
      <c r="K196" s="120"/>
      <c r="L196" s="122"/>
      <c r="M196" s="113"/>
      <c r="N196" s="6"/>
    </row>
    <row r="197" spans="1:14" ht="15.75">
      <c r="A197" s="28"/>
      <c r="B197" s="68" t="s">
        <v>130</v>
      </c>
      <c r="C197" s="120"/>
      <c r="D197" s="121"/>
      <c r="E197" s="120"/>
      <c r="F197" s="121"/>
      <c r="G197" s="120"/>
      <c r="H197" s="121"/>
      <c r="I197" s="120"/>
      <c r="J197" s="123">
        <v>-1789</v>
      </c>
      <c r="K197" s="120"/>
      <c r="L197" s="122"/>
      <c r="M197" s="113"/>
      <c r="N197" s="6"/>
    </row>
    <row r="198" spans="1:14" ht="15.75">
      <c r="A198" s="28"/>
      <c r="B198" s="68" t="s">
        <v>131</v>
      </c>
      <c r="C198" s="120"/>
      <c r="D198" s="121"/>
      <c r="E198" s="120"/>
      <c r="F198" s="121"/>
      <c r="G198" s="120"/>
      <c r="H198" s="121"/>
      <c r="I198" s="120"/>
      <c r="J198" s="123">
        <f>SUM(J195:J197)</f>
        <v>251000</v>
      </c>
      <c r="K198" s="120"/>
      <c r="L198" s="122"/>
      <c r="M198" s="113"/>
      <c r="N198" s="6"/>
    </row>
    <row r="199" spans="1:14" ht="15.75">
      <c r="A199" s="28"/>
      <c r="B199" s="68"/>
      <c r="C199" s="120"/>
      <c r="D199" s="121"/>
      <c r="E199" s="120"/>
      <c r="F199" s="121"/>
      <c r="G199" s="120"/>
      <c r="H199" s="121"/>
      <c r="I199" s="120"/>
      <c r="J199" s="123"/>
      <c r="K199" s="120"/>
      <c r="L199" s="122"/>
      <c r="M199" s="113"/>
      <c r="N199" s="6"/>
    </row>
    <row r="200" spans="1:14" ht="15.75">
      <c r="A200" s="28"/>
      <c r="B200" s="68" t="s">
        <v>132</v>
      </c>
      <c r="C200" s="120"/>
      <c r="D200" s="121"/>
      <c r="E200" s="120"/>
      <c r="F200" s="121"/>
      <c r="G200" s="120"/>
      <c r="H200" s="121"/>
      <c r="I200" s="120"/>
      <c r="J200" s="123">
        <f>L30</f>
        <v>251000</v>
      </c>
      <c r="K200" s="120"/>
      <c r="L200" s="122"/>
      <c r="M200" s="113"/>
      <c r="N200" s="6"/>
    </row>
    <row r="201" spans="1:14" ht="15.75">
      <c r="A201" s="28"/>
      <c r="B201" s="68"/>
      <c r="C201" s="120"/>
      <c r="D201" s="121"/>
      <c r="E201" s="120"/>
      <c r="F201" s="121"/>
      <c r="G201" s="120"/>
      <c r="H201" s="121"/>
      <c r="I201" s="120"/>
      <c r="J201" s="123"/>
      <c r="K201" s="120"/>
      <c r="L201" s="122"/>
      <c r="M201" s="113"/>
      <c r="N201" s="6"/>
    </row>
    <row r="202" spans="1:14" ht="15.75">
      <c r="A202" s="28"/>
      <c r="B202" s="68" t="s">
        <v>133</v>
      </c>
      <c r="C202" s="120"/>
      <c r="D202" s="121"/>
      <c r="E202" s="120"/>
      <c r="F202" s="121"/>
      <c r="G202" s="120"/>
      <c r="H202" s="121"/>
      <c r="I202" s="120"/>
      <c r="J202" s="123">
        <f>J198/J200</f>
        <v>1</v>
      </c>
      <c r="K202" s="120"/>
      <c r="L202" s="122"/>
      <c r="M202" s="113"/>
      <c r="N202" s="6"/>
    </row>
    <row r="203" spans="1:14" ht="15.75">
      <c r="A203" s="28"/>
      <c r="B203" s="29"/>
      <c r="C203" s="29"/>
      <c r="D203" s="36"/>
      <c r="E203" s="29"/>
      <c r="F203" s="29"/>
      <c r="G203" s="29"/>
      <c r="H203" s="66"/>
      <c r="I203" s="130"/>
      <c r="J203" s="67"/>
      <c r="K203" s="130"/>
      <c r="L203" s="99"/>
      <c r="M203" s="29"/>
      <c r="N203" s="6"/>
    </row>
    <row r="204" spans="1:14" ht="15.75">
      <c r="A204" s="131"/>
      <c r="B204" s="33" t="s">
        <v>134</v>
      </c>
      <c r="C204" s="132"/>
      <c r="D204" s="120" t="s">
        <v>153</v>
      </c>
      <c r="E204" s="122"/>
      <c r="F204" s="33" t="s">
        <v>166</v>
      </c>
      <c r="G204" s="133"/>
      <c r="H204" s="133"/>
      <c r="I204" s="133"/>
      <c r="J204" s="134"/>
      <c r="K204" s="32"/>
      <c r="L204" s="32"/>
      <c r="M204" s="32"/>
      <c r="N204" s="6"/>
    </row>
    <row r="205" spans="1:14" ht="15.75">
      <c r="A205" s="135"/>
      <c r="B205" s="15" t="s">
        <v>135</v>
      </c>
      <c r="C205" s="136"/>
      <c r="D205" s="137" t="s">
        <v>154</v>
      </c>
      <c r="E205" s="15"/>
      <c r="F205" s="15" t="s">
        <v>167</v>
      </c>
      <c r="G205" s="136"/>
      <c r="H205" s="136"/>
      <c r="I205" s="14"/>
      <c r="J205" s="14"/>
      <c r="K205" s="14"/>
      <c r="L205" s="14"/>
      <c r="M205" s="14"/>
      <c r="N205" s="6"/>
    </row>
    <row r="206" spans="1:14" ht="15.75">
      <c r="A206" s="135"/>
      <c r="B206" s="15" t="s">
        <v>136</v>
      </c>
      <c r="C206" s="136"/>
      <c r="D206" s="137" t="s">
        <v>155</v>
      </c>
      <c r="E206" s="15"/>
      <c r="F206" s="15" t="s">
        <v>168</v>
      </c>
      <c r="G206" s="136"/>
      <c r="H206" s="136"/>
      <c r="I206" s="14"/>
      <c r="J206" s="14"/>
      <c r="K206" s="14"/>
      <c r="L206" s="14"/>
      <c r="M206" s="14"/>
      <c r="N206" s="6"/>
    </row>
    <row r="207" spans="1:14" ht="15.75">
      <c r="A207" s="135"/>
      <c r="B207" s="15"/>
      <c r="C207" s="136"/>
      <c r="D207" s="137"/>
      <c r="E207" s="15"/>
      <c r="F207" s="15"/>
      <c r="G207" s="136"/>
      <c r="H207" s="136"/>
      <c r="I207" s="14"/>
      <c r="J207" s="14"/>
      <c r="K207" s="14"/>
      <c r="L207" s="14"/>
      <c r="M207" s="14"/>
      <c r="N207" s="6"/>
    </row>
    <row r="208" spans="1:14" ht="15.75">
      <c r="A208" s="135"/>
      <c r="B208" s="15"/>
      <c r="C208" s="136"/>
      <c r="D208" s="137"/>
      <c r="E208" s="15"/>
      <c r="F208" s="15"/>
      <c r="G208" s="136"/>
      <c r="H208" s="136"/>
      <c r="I208" s="14"/>
      <c r="J208" s="14"/>
      <c r="K208" s="14"/>
      <c r="L208" s="14"/>
      <c r="M208" s="14"/>
      <c r="N208" s="6"/>
    </row>
    <row r="209" spans="1:14" ht="15.75">
      <c r="A209" s="135"/>
      <c r="B209" s="15" t="str">
        <f>B148</f>
        <v>PPAF1 INVESTOR REPORT QUARTER ENDING FEBRUARY 2002</v>
      </c>
      <c r="C209" s="136"/>
      <c r="D209" s="137"/>
      <c r="E209" s="15"/>
      <c r="F209" s="15"/>
      <c r="G209" s="136"/>
      <c r="H209" s="136"/>
      <c r="I209" s="14"/>
      <c r="J209" s="14"/>
      <c r="K209" s="14"/>
      <c r="L209" s="14"/>
      <c r="M209" s="14"/>
      <c r="N209" s="6"/>
    </row>
    <row r="210" spans="1:13" ht="15">
      <c r="A210" s="138"/>
      <c r="B210" s="138"/>
      <c r="C210" s="138"/>
      <c r="D210" s="138"/>
      <c r="E210" s="138"/>
      <c r="F210" s="138"/>
      <c r="G210" s="138"/>
      <c r="H210" s="138"/>
      <c r="I210" s="138"/>
      <c r="J210" s="138"/>
      <c r="K210" s="138"/>
      <c r="L210" s="138"/>
      <c r="M210" s="138"/>
    </row>
  </sheetData>
  <printOptions horizontalCentered="1" verticalCentered="1"/>
  <pageMargins left="0.2362204724409449" right="0.4330708661417323" top="0.2362204724409449" bottom="0.7480314960629921" header="0" footer="0"/>
  <pageSetup horizontalDpi="600" verticalDpi="600" orientation="landscape" paperSize="9" scale="50" r:id="rId2"/>
  <rowBreaks count="4" manualBreakCount="4">
    <brk id="50" max="13" man="1"/>
    <brk id="97" max="13" man="1"/>
    <brk id="148" max="13" man="1"/>
    <brk id="210" max="0" man="1"/>
  </rowBreaks>
  <colBreaks count="1" manualBreakCount="1">
    <brk id="14" max="65535" man="1"/>
  </colBreaks>
  <drawing r:id="rId1"/>
</worksheet>
</file>

<file path=xl/worksheets/sheet4.xml><?xml version="1.0" encoding="utf-8"?>
<worksheet xmlns="http://schemas.openxmlformats.org/spreadsheetml/2006/main" xmlns:r="http://schemas.openxmlformats.org/officeDocument/2006/relationships">
  <dimension ref="A1:O210"/>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1.6640625" style="1" customWidth="1"/>
    <col min="3" max="3" width="12.6640625" style="1" customWidth="1"/>
    <col min="4" max="4" width="14.6640625" style="1" customWidth="1"/>
    <col min="5" max="5" width="11.6640625" style="1" customWidth="1"/>
    <col min="6" max="6" width="14.6640625" style="1" customWidth="1"/>
    <col min="7" max="7" width="7.6640625" style="1" customWidth="1"/>
    <col min="8" max="8" width="13.6640625" style="1" customWidth="1"/>
    <col min="9" max="9" width="8.6640625" style="1" customWidth="1"/>
    <col min="10" max="10" width="13.6640625" style="1" customWidth="1"/>
    <col min="11" max="11" width="9.6640625" style="1" customWidth="1"/>
    <col min="12" max="12" width="15.6640625" style="1" customWidth="1"/>
    <col min="13" max="13" width="18.2148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8"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2" t="s">
        <v>2</v>
      </c>
      <c r="C5" s="13"/>
      <c r="D5" s="9"/>
      <c r="E5" s="9"/>
      <c r="F5" s="9"/>
      <c r="G5" s="9"/>
      <c r="H5" s="9"/>
      <c r="I5" s="9"/>
      <c r="J5" s="9"/>
      <c r="K5" s="9"/>
      <c r="L5" s="9"/>
      <c r="M5" s="9"/>
      <c r="N5" s="6"/>
    </row>
    <row r="6" spans="1:14" ht="15.75">
      <c r="A6" s="7"/>
      <c r="B6" s="12" t="s">
        <v>3</v>
      </c>
      <c r="C6" s="13"/>
      <c r="D6" s="9"/>
      <c r="E6" s="9"/>
      <c r="F6" s="9"/>
      <c r="G6" s="9"/>
      <c r="H6" s="9"/>
      <c r="I6" s="9"/>
      <c r="J6" s="9"/>
      <c r="K6" s="9"/>
      <c r="L6" s="9"/>
      <c r="M6" s="9"/>
      <c r="N6" s="6"/>
    </row>
    <row r="7" spans="1:14" ht="15.75">
      <c r="A7" s="7"/>
      <c r="B7" s="12" t="s">
        <v>4</v>
      </c>
      <c r="C7" s="13"/>
      <c r="D7" s="9"/>
      <c r="E7" s="9"/>
      <c r="F7" s="9"/>
      <c r="G7" s="9"/>
      <c r="H7" s="9"/>
      <c r="I7" s="9"/>
      <c r="J7" s="9"/>
      <c r="K7" s="9"/>
      <c r="L7" s="9"/>
      <c r="M7" s="9"/>
      <c r="N7" s="6"/>
    </row>
    <row r="8" spans="1:14" ht="15.75">
      <c r="A8" s="7"/>
      <c r="B8" s="14"/>
      <c r="C8" s="13"/>
      <c r="D8" s="9"/>
      <c r="E8" s="9"/>
      <c r="F8" s="9"/>
      <c r="G8" s="9"/>
      <c r="H8" s="9"/>
      <c r="I8" s="9"/>
      <c r="J8" s="9"/>
      <c r="K8" s="9"/>
      <c r="L8" s="9"/>
      <c r="M8" s="9"/>
      <c r="N8" s="6"/>
    </row>
    <row r="9" spans="1:14" ht="15.75">
      <c r="A9" s="7"/>
      <c r="B9" s="13"/>
      <c r="C9" s="13"/>
      <c r="D9" s="15"/>
      <c r="E9" s="15"/>
      <c r="F9" s="9"/>
      <c r="G9" s="9"/>
      <c r="H9" s="9"/>
      <c r="I9" s="9"/>
      <c r="J9" s="9"/>
      <c r="K9" s="9"/>
      <c r="L9" s="9"/>
      <c r="M9" s="9"/>
      <c r="N9" s="6"/>
    </row>
    <row r="10" spans="1:14" ht="15.75">
      <c r="A10" s="7"/>
      <c r="B10" s="15" t="s">
        <v>5</v>
      </c>
      <c r="C10" s="15"/>
      <c r="D10" s="9"/>
      <c r="E10" s="9"/>
      <c r="F10" s="9"/>
      <c r="G10" s="9"/>
      <c r="H10" s="9"/>
      <c r="I10" s="9"/>
      <c r="J10" s="9"/>
      <c r="K10" s="9"/>
      <c r="L10" s="9"/>
      <c r="M10" s="9"/>
      <c r="N10" s="6"/>
    </row>
    <row r="11" spans="1:14" ht="15.75">
      <c r="A11" s="7"/>
      <c r="B11" s="15"/>
      <c r="C11" s="15"/>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6" t="s">
        <v>6</v>
      </c>
      <c r="C13" s="16"/>
      <c r="D13" s="17"/>
      <c r="E13" s="17"/>
      <c r="F13" s="17"/>
      <c r="G13" s="17"/>
      <c r="H13" s="17"/>
      <c r="I13" s="17"/>
      <c r="J13" s="17"/>
      <c r="K13" s="17"/>
      <c r="L13" s="18" t="s">
        <v>186</v>
      </c>
      <c r="M13" s="9"/>
      <c r="N13" s="6"/>
    </row>
    <row r="14" spans="1:14" ht="15.75">
      <c r="A14" s="7"/>
      <c r="B14" s="16" t="s">
        <v>7</v>
      </c>
      <c r="C14" s="16"/>
      <c r="D14" s="19" t="s">
        <v>140</v>
      </c>
      <c r="E14" s="20">
        <v>0.348</v>
      </c>
      <c r="F14" s="19" t="s">
        <v>150</v>
      </c>
      <c r="G14" s="20">
        <v>0.229</v>
      </c>
      <c r="H14" s="19" t="s">
        <v>156</v>
      </c>
      <c r="I14" s="20">
        <v>0.098</v>
      </c>
      <c r="J14" s="19" t="s">
        <v>165</v>
      </c>
      <c r="K14" s="20">
        <v>0.1</v>
      </c>
      <c r="L14" s="18"/>
      <c r="M14" s="17"/>
      <c r="N14" s="6"/>
    </row>
    <row r="15" spans="1:14" ht="15.75">
      <c r="A15" s="7"/>
      <c r="B15" s="16" t="s">
        <v>8</v>
      </c>
      <c r="C15" s="16"/>
      <c r="D15" s="19" t="s">
        <v>140</v>
      </c>
      <c r="E15" s="20">
        <f>E177/($J$195+$L$93)</f>
        <v>0.2477085632681802</v>
      </c>
      <c r="F15" s="19" t="s">
        <v>150</v>
      </c>
      <c r="G15" s="20">
        <f>J177/($J$195+$L$93)</f>
        <v>0.13970940191226675</v>
      </c>
      <c r="H15" s="19" t="s">
        <v>156</v>
      </c>
      <c r="I15" s="20">
        <f>E187/($J$195+$L$93)</f>
        <v>0.2553671243606328</v>
      </c>
      <c r="J15" s="19" t="s">
        <v>165</v>
      </c>
      <c r="K15" s="20">
        <f>J187/($J$195+$L$93)</f>
        <v>0.19801494527056163</v>
      </c>
      <c r="L15" s="18"/>
      <c r="M15" s="17"/>
      <c r="N15" s="6"/>
    </row>
    <row r="16" spans="1:14" ht="15.75">
      <c r="A16" s="7"/>
      <c r="B16" s="16" t="s">
        <v>9</v>
      </c>
      <c r="C16" s="16"/>
      <c r="D16" s="17"/>
      <c r="E16" s="17"/>
      <c r="F16" s="17"/>
      <c r="G16" s="17"/>
      <c r="H16" s="17"/>
      <c r="I16" s="17"/>
      <c r="J16" s="17"/>
      <c r="K16" s="17"/>
      <c r="L16" s="178">
        <v>37070</v>
      </c>
      <c r="M16" s="9"/>
      <c r="N16" s="6"/>
    </row>
    <row r="17" spans="1:14" ht="15.75">
      <c r="A17" s="7"/>
      <c r="B17" s="16" t="s">
        <v>10</v>
      </c>
      <c r="C17" s="16"/>
      <c r="D17" s="17"/>
      <c r="E17" s="17"/>
      <c r="F17" s="17"/>
      <c r="G17" s="17"/>
      <c r="H17" s="17"/>
      <c r="I17" s="17"/>
      <c r="J17" s="17"/>
      <c r="K17" s="17"/>
      <c r="L17" s="21">
        <v>37425</v>
      </c>
      <c r="M17" s="9"/>
      <c r="N17" s="6"/>
    </row>
    <row r="18" spans="1:14" ht="15.75">
      <c r="A18" s="7"/>
      <c r="B18" s="9"/>
      <c r="C18" s="9"/>
      <c r="D18" s="9"/>
      <c r="E18" s="9"/>
      <c r="F18" s="9"/>
      <c r="G18" s="9"/>
      <c r="H18" s="9"/>
      <c r="I18" s="9"/>
      <c r="J18" s="9"/>
      <c r="K18" s="9"/>
      <c r="L18" s="22"/>
      <c r="M18" s="9"/>
      <c r="N18" s="6"/>
    </row>
    <row r="19" spans="1:14" ht="15.75">
      <c r="A19" s="7"/>
      <c r="B19" s="23" t="s">
        <v>11</v>
      </c>
      <c r="C19" s="9"/>
      <c r="D19" s="9"/>
      <c r="E19" s="9"/>
      <c r="F19" s="9"/>
      <c r="G19" s="9"/>
      <c r="H19" s="9"/>
      <c r="I19" s="9"/>
      <c r="J19" s="22"/>
      <c r="K19" s="9"/>
      <c r="L19" s="14"/>
      <c r="M19" s="9"/>
      <c r="N19" s="6"/>
    </row>
    <row r="20" spans="1:14" ht="15.75">
      <c r="A20" s="7"/>
      <c r="B20" s="9"/>
      <c r="C20" s="9"/>
      <c r="D20" s="9"/>
      <c r="E20" s="9"/>
      <c r="F20" s="9"/>
      <c r="G20" s="9"/>
      <c r="H20" s="9"/>
      <c r="I20" s="9"/>
      <c r="J20" s="9"/>
      <c r="K20" s="9"/>
      <c r="L20" s="24"/>
      <c r="M20" s="9"/>
      <c r="N20" s="6"/>
    </row>
    <row r="21" spans="1:14" ht="15.75">
      <c r="A21" s="7"/>
      <c r="B21" s="9"/>
      <c r="C21" s="159" t="s">
        <v>137</v>
      </c>
      <c r="D21" s="161" t="s">
        <v>142</v>
      </c>
      <c r="E21" s="161"/>
      <c r="F21" s="161" t="s">
        <v>158</v>
      </c>
      <c r="G21" s="161"/>
      <c r="H21" s="161" t="s">
        <v>169</v>
      </c>
      <c r="I21" s="161"/>
      <c r="J21" s="27"/>
      <c r="K21" s="14"/>
      <c r="L21" s="14"/>
      <c r="M21" s="9"/>
      <c r="N21" s="6"/>
    </row>
    <row r="22" spans="1:14" ht="15.75">
      <c r="A22" s="28"/>
      <c r="B22" s="29" t="s">
        <v>12</v>
      </c>
      <c r="C22" s="160" t="s">
        <v>138</v>
      </c>
      <c r="D22" s="31" t="s">
        <v>143</v>
      </c>
      <c r="E22" s="31"/>
      <c r="F22" s="31" t="s">
        <v>159</v>
      </c>
      <c r="G22" s="31"/>
      <c r="H22" s="31" t="s">
        <v>170</v>
      </c>
      <c r="I22" s="31"/>
      <c r="J22" s="31"/>
      <c r="K22" s="32"/>
      <c r="L22" s="32"/>
      <c r="M22" s="29"/>
      <c r="N22" s="6"/>
    </row>
    <row r="23" spans="1:14" ht="15.75">
      <c r="A23" s="28"/>
      <c r="B23" s="29" t="s">
        <v>13</v>
      </c>
      <c r="C23" s="30"/>
      <c r="D23" s="31" t="s">
        <v>144</v>
      </c>
      <c r="E23" s="31"/>
      <c r="F23" s="31" t="s">
        <v>160</v>
      </c>
      <c r="G23" s="31"/>
      <c r="H23" s="31" t="s">
        <v>171</v>
      </c>
      <c r="I23" s="31"/>
      <c r="J23" s="31"/>
      <c r="K23" s="32"/>
      <c r="L23" s="32"/>
      <c r="M23" s="29"/>
      <c r="N23" s="6"/>
    </row>
    <row r="24" spans="1:14" ht="15.75">
      <c r="A24" s="28"/>
      <c r="B24" s="33" t="s">
        <v>14</v>
      </c>
      <c r="C24" s="33"/>
      <c r="D24" s="34" t="s">
        <v>143</v>
      </c>
      <c r="E24" s="34"/>
      <c r="F24" s="34" t="s">
        <v>159</v>
      </c>
      <c r="G24" s="34"/>
      <c r="H24" s="34" t="s">
        <v>170</v>
      </c>
      <c r="I24" s="34"/>
      <c r="J24" s="34"/>
      <c r="K24" s="35"/>
      <c r="L24" s="32"/>
      <c r="M24" s="29"/>
      <c r="N24" s="6"/>
    </row>
    <row r="25" spans="1:14" ht="15.75">
      <c r="A25" s="28"/>
      <c r="B25" s="33" t="s">
        <v>15</v>
      </c>
      <c r="C25" s="33"/>
      <c r="D25" s="34" t="s">
        <v>144</v>
      </c>
      <c r="E25" s="34"/>
      <c r="F25" s="34" t="s">
        <v>160</v>
      </c>
      <c r="G25" s="34"/>
      <c r="H25" s="34" t="s">
        <v>171</v>
      </c>
      <c r="I25" s="34"/>
      <c r="J25" s="34"/>
      <c r="K25" s="35"/>
      <c r="L25" s="32"/>
      <c r="M25" s="29"/>
      <c r="N25" s="6"/>
    </row>
    <row r="26" spans="1:14" ht="15.75">
      <c r="A26" s="28"/>
      <c r="B26" s="29" t="s">
        <v>16</v>
      </c>
      <c r="C26" s="29"/>
      <c r="D26" s="36" t="s">
        <v>145</v>
      </c>
      <c r="E26" s="31"/>
      <c r="F26" s="36" t="s">
        <v>161</v>
      </c>
      <c r="G26" s="31"/>
      <c r="H26" s="36" t="s">
        <v>172</v>
      </c>
      <c r="I26" s="31"/>
      <c r="J26" s="36"/>
      <c r="K26" s="32"/>
      <c r="L26" s="32"/>
      <c r="M26" s="29"/>
      <c r="N26" s="6"/>
    </row>
    <row r="27" spans="1:14" ht="15.75">
      <c r="A27" s="28"/>
      <c r="B27" s="29"/>
      <c r="C27" s="29"/>
      <c r="D27" s="29"/>
      <c r="E27" s="31"/>
      <c r="F27" s="31"/>
      <c r="G27" s="31"/>
      <c r="H27" s="31"/>
      <c r="I27" s="31"/>
      <c r="J27" s="31"/>
      <c r="K27" s="32"/>
      <c r="L27" s="32"/>
      <c r="M27" s="29"/>
      <c r="N27" s="6"/>
    </row>
    <row r="28" spans="1:14" ht="15.75">
      <c r="A28" s="28"/>
      <c r="B28" s="29" t="s">
        <v>17</v>
      </c>
      <c r="C28" s="29"/>
      <c r="D28" s="37">
        <v>178210</v>
      </c>
      <c r="E28" s="38"/>
      <c r="F28" s="37">
        <v>51450</v>
      </c>
      <c r="G28" s="37"/>
      <c r="H28" s="37">
        <v>21340</v>
      </c>
      <c r="I28" s="37"/>
      <c r="J28" s="37"/>
      <c r="K28" s="39"/>
      <c r="L28" s="37">
        <f>J28+H28+F28+D28</f>
        <v>251000</v>
      </c>
      <c r="M28" s="40"/>
      <c r="N28" s="6"/>
    </row>
    <row r="29" spans="1:14" ht="15.75">
      <c r="A29" s="28"/>
      <c r="B29" s="29" t="s">
        <v>18</v>
      </c>
      <c r="C29" s="44">
        <v>1</v>
      </c>
      <c r="D29" s="37">
        <v>178210</v>
      </c>
      <c r="E29" s="38"/>
      <c r="F29" s="37">
        <v>51450</v>
      </c>
      <c r="G29" s="37"/>
      <c r="H29" s="37">
        <v>21340</v>
      </c>
      <c r="I29" s="42"/>
      <c r="J29" s="37"/>
      <c r="K29" s="39"/>
      <c r="L29" s="37">
        <f>J29+H29+F29+D29</f>
        <v>251000</v>
      </c>
      <c r="M29" s="40"/>
      <c r="N29" s="6"/>
    </row>
    <row r="30" spans="1:14" ht="15.75">
      <c r="A30" s="43"/>
      <c r="B30" s="33" t="s">
        <v>19</v>
      </c>
      <c r="C30" s="44">
        <v>1</v>
      </c>
      <c r="D30" s="45">
        <v>178210</v>
      </c>
      <c r="E30" s="46"/>
      <c r="F30" s="45">
        <v>51450</v>
      </c>
      <c r="G30" s="45"/>
      <c r="H30" s="45">
        <v>21340</v>
      </c>
      <c r="I30" s="45"/>
      <c r="J30" s="45"/>
      <c r="K30" s="47"/>
      <c r="L30" s="45">
        <f>J30+H30+F30+D30</f>
        <v>251000</v>
      </c>
      <c r="M30" s="29"/>
      <c r="N30" s="6"/>
    </row>
    <row r="31" spans="1:14" ht="15.75">
      <c r="A31" s="28"/>
      <c r="B31" s="29" t="s">
        <v>20</v>
      </c>
      <c r="C31" s="48"/>
      <c r="D31" s="36" t="s">
        <v>146</v>
      </c>
      <c r="E31" s="29"/>
      <c r="F31" s="36" t="s">
        <v>162</v>
      </c>
      <c r="G31" s="36"/>
      <c r="H31" s="36" t="s">
        <v>173</v>
      </c>
      <c r="I31" s="36"/>
      <c r="J31" s="36"/>
      <c r="K31" s="32"/>
      <c r="L31" s="32"/>
      <c r="M31" s="29"/>
      <c r="N31" s="6"/>
    </row>
    <row r="32" spans="1:14" ht="15.75">
      <c r="A32" s="28"/>
      <c r="B32" s="29" t="s">
        <v>21</v>
      </c>
      <c r="C32" s="48"/>
      <c r="D32" s="49">
        <v>0.0440125</v>
      </c>
      <c r="E32" s="50"/>
      <c r="F32" s="49">
        <v>0.0496125</v>
      </c>
      <c r="G32" s="49"/>
      <c r="H32" s="49">
        <v>0.0636125</v>
      </c>
      <c r="I32" s="51"/>
      <c r="J32" s="49"/>
      <c r="K32" s="32"/>
      <c r="L32" s="51">
        <f>SUMPRODUCT(D32:J32,D30:J30)/L30</f>
        <v>0.046826778884462156</v>
      </c>
      <c r="M32" s="29"/>
      <c r="N32" s="6"/>
    </row>
    <row r="33" spans="1:14" ht="15.75">
      <c r="A33" s="28"/>
      <c r="B33" s="29" t="s">
        <v>22</v>
      </c>
      <c r="C33" s="48"/>
      <c r="D33" s="49">
        <v>0.0434375</v>
      </c>
      <c r="E33" s="50"/>
      <c r="F33" s="49">
        <v>0.0490375</v>
      </c>
      <c r="G33" s="49"/>
      <c r="H33" s="49">
        <v>0.0630375</v>
      </c>
      <c r="I33" s="51"/>
      <c r="J33" s="49"/>
      <c r="K33" s="32"/>
      <c r="L33" s="32"/>
      <c r="M33" s="29"/>
      <c r="N33" s="6"/>
    </row>
    <row r="34" spans="1:14" ht="15.75">
      <c r="A34" s="28"/>
      <c r="B34" s="29" t="s">
        <v>23</v>
      </c>
      <c r="C34" s="48"/>
      <c r="D34" s="36" t="s">
        <v>147</v>
      </c>
      <c r="E34" s="29"/>
      <c r="F34" s="36" t="s">
        <v>147</v>
      </c>
      <c r="G34" s="36"/>
      <c r="H34" s="36" t="s">
        <v>147</v>
      </c>
      <c r="I34" s="36"/>
      <c r="J34" s="36"/>
      <c r="K34" s="32"/>
      <c r="L34" s="32"/>
      <c r="M34" s="29"/>
      <c r="N34" s="6"/>
    </row>
    <row r="35" spans="1:14" ht="15.75">
      <c r="A35" s="28"/>
      <c r="B35" s="29" t="s">
        <v>24</v>
      </c>
      <c r="C35" s="29"/>
      <c r="D35" s="52">
        <v>39248</v>
      </c>
      <c r="E35" s="29"/>
      <c r="F35" s="52">
        <v>39248</v>
      </c>
      <c r="G35" s="52"/>
      <c r="H35" s="52">
        <v>39248</v>
      </c>
      <c r="I35" s="36"/>
      <c r="J35" s="36"/>
      <c r="K35" s="32"/>
      <c r="L35" s="32"/>
      <c r="M35" s="29"/>
      <c r="N35" s="6"/>
    </row>
    <row r="36" spans="1:14" ht="15.75">
      <c r="A36" s="28"/>
      <c r="B36" s="29" t="s">
        <v>25</v>
      </c>
      <c r="C36" s="29"/>
      <c r="D36" s="36" t="s">
        <v>148</v>
      </c>
      <c r="E36" s="29"/>
      <c r="F36" s="36" t="s">
        <v>163</v>
      </c>
      <c r="G36" s="36"/>
      <c r="H36" s="36" t="s">
        <v>174</v>
      </c>
      <c r="I36" s="36"/>
      <c r="J36" s="36"/>
      <c r="K36" s="32"/>
      <c r="L36" s="32"/>
      <c r="M36" s="29"/>
      <c r="N36" s="6"/>
    </row>
    <row r="37" spans="1:14" ht="15.75">
      <c r="A37" s="28"/>
      <c r="B37" s="29"/>
      <c r="C37" s="29"/>
      <c r="D37" s="53"/>
      <c r="E37" s="53"/>
      <c r="F37" s="29"/>
      <c r="G37" s="53"/>
      <c r="H37" s="53"/>
      <c r="I37" s="53"/>
      <c r="J37" s="53"/>
      <c r="K37" s="53"/>
      <c r="L37" s="53"/>
      <c r="M37" s="29"/>
      <c r="N37" s="6"/>
    </row>
    <row r="38" spans="1:14" ht="15.75">
      <c r="A38" s="28"/>
      <c r="B38" s="29" t="s">
        <v>26</v>
      </c>
      <c r="C38" s="29"/>
      <c r="D38" s="29"/>
      <c r="E38" s="29"/>
      <c r="F38" s="50"/>
      <c r="G38" s="29"/>
      <c r="H38" s="50"/>
      <c r="I38" s="29"/>
      <c r="J38" s="29"/>
      <c r="K38" s="29"/>
      <c r="L38" s="51">
        <f>(H28+F28)/(D28)</f>
        <v>0.4084507042253521</v>
      </c>
      <c r="M38" s="29"/>
      <c r="N38" s="6"/>
    </row>
    <row r="39" spans="1:14" ht="15.75">
      <c r="A39" s="28"/>
      <c r="B39" s="29" t="s">
        <v>27</v>
      </c>
      <c r="C39" s="29"/>
      <c r="D39" s="29"/>
      <c r="E39" s="29"/>
      <c r="F39" s="50"/>
      <c r="G39" s="29"/>
      <c r="H39" s="50"/>
      <c r="I39" s="29"/>
      <c r="J39" s="29"/>
      <c r="K39" s="29"/>
      <c r="L39" s="51">
        <f>(H30+F30)/(D30)</f>
        <v>0.4084507042253521</v>
      </c>
      <c r="M39" s="29"/>
      <c r="N39" s="6"/>
    </row>
    <row r="40" spans="1:14" ht="15.75">
      <c r="A40" s="28"/>
      <c r="B40" s="29" t="s">
        <v>28</v>
      </c>
      <c r="C40" s="29"/>
      <c r="D40" s="29"/>
      <c r="E40" s="29"/>
      <c r="F40" s="29"/>
      <c r="G40" s="29"/>
      <c r="H40" s="29"/>
      <c r="I40" s="29"/>
      <c r="J40" s="36" t="s">
        <v>142</v>
      </c>
      <c r="K40" s="36" t="s">
        <v>185</v>
      </c>
      <c r="L40" s="37">
        <v>38766</v>
      </c>
      <c r="M40" s="29"/>
      <c r="N40" s="6"/>
    </row>
    <row r="41" spans="1:14" ht="15.75">
      <c r="A41" s="28"/>
      <c r="B41" s="29"/>
      <c r="C41" s="29"/>
      <c r="D41" s="29"/>
      <c r="E41" s="29"/>
      <c r="F41" s="29"/>
      <c r="G41" s="29"/>
      <c r="H41" s="29"/>
      <c r="I41" s="29"/>
      <c r="J41" s="29" t="s">
        <v>177</v>
      </c>
      <c r="K41" s="29"/>
      <c r="L41" s="54"/>
      <c r="M41" s="29"/>
      <c r="N41" s="6"/>
    </row>
    <row r="42" spans="1:14" ht="15.75">
      <c r="A42" s="28"/>
      <c r="B42" s="29" t="s">
        <v>29</v>
      </c>
      <c r="C42" s="29"/>
      <c r="D42" s="29"/>
      <c r="E42" s="29"/>
      <c r="F42" s="29"/>
      <c r="G42" s="29"/>
      <c r="H42" s="29"/>
      <c r="I42" s="29"/>
      <c r="J42" s="36"/>
      <c r="K42" s="36"/>
      <c r="L42" s="36" t="s">
        <v>187</v>
      </c>
      <c r="M42" s="29"/>
      <c r="N42" s="6"/>
    </row>
    <row r="43" spans="1:14" ht="15.75">
      <c r="A43" s="43"/>
      <c r="B43" s="33" t="s">
        <v>30</v>
      </c>
      <c r="C43" s="33"/>
      <c r="D43" s="33"/>
      <c r="E43" s="33"/>
      <c r="F43" s="33"/>
      <c r="G43" s="33"/>
      <c r="H43" s="33"/>
      <c r="I43" s="33"/>
      <c r="J43" s="55"/>
      <c r="K43" s="55"/>
      <c r="L43" s="56">
        <v>37424</v>
      </c>
      <c r="M43" s="33"/>
      <c r="N43" s="6"/>
    </row>
    <row r="44" spans="1:14" ht="15.75">
      <c r="A44" s="28"/>
      <c r="B44" s="29" t="s">
        <v>31</v>
      </c>
      <c r="C44" s="29"/>
      <c r="D44" s="29"/>
      <c r="E44" s="29"/>
      <c r="F44" s="29"/>
      <c r="G44" s="29"/>
      <c r="H44" s="32"/>
      <c r="I44" s="29">
        <f>L44-J44+1</f>
        <v>88</v>
      </c>
      <c r="J44" s="58">
        <v>37242</v>
      </c>
      <c r="K44" s="59"/>
      <c r="L44" s="58">
        <v>37329</v>
      </c>
      <c r="M44" s="29"/>
      <c r="N44" s="6"/>
    </row>
    <row r="45" spans="1:14" ht="15.75">
      <c r="A45" s="28"/>
      <c r="B45" s="29" t="s">
        <v>32</v>
      </c>
      <c r="C45" s="29"/>
      <c r="D45" s="29"/>
      <c r="E45" s="29"/>
      <c r="F45" s="29"/>
      <c r="G45" s="29"/>
      <c r="H45" s="32"/>
      <c r="I45" s="29">
        <f>L45-J45+1</f>
        <v>94</v>
      </c>
      <c r="J45" s="58">
        <v>37330</v>
      </c>
      <c r="K45" s="59"/>
      <c r="L45" s="58">
        <v>37423</v>
      </c>
      <c r="M45" s="29"/>
      <c r="N45" s="6"/>
    </row>
    <row r="46" spans="1:14" ht="15.75">
      <c r="A46" s="28"/>
      <c r="B46" s="29" t="s">
        <v>33</v>
      </c>
      <c r="C46" s="29"/>
      <c r="D46" s="29"/>
      <c r="E46" s="29"/>
      <c r="F46" s="29"/>
      <c r="G46" s="29"/>
      <c r="H46" s="29"/>
      <c r="I46" s="29"/>
      <c r="J46" s="58"/>
      <c r="K46" s="59"/>
      <c r="L46" s="58" t="s">
        <v>188</v>
      </c>
      <c r="M46" s="29"/>
      <c r="N46" s="6"/>
    </row>
    <row r="47" spans="1:14" ht="15.75">
      <c r="A47" s="28"/>
      <c r="B47" s="29" t="s">
        <v>34</v>
      </c>
      <c r="C47" s="29"/>
      <c r="D47" s="29"/>
      <c r="E47" s="29"/>
      <c r="F47" s="29"/>
      <c r="G47" s="29"/>
      <c r="H47" s="29"/>
      <c r="I47" s="29"/>
      <c r="J47" s="58"/>
      <c r="K47" s="59"/>
      <c r="L47" s="58">
        <v>37412</v>
      </c>
      <c r="M47" s="29"/>
      <c r="N47" s="6"/>
    </row>
    <row r="48" spans="1:14" ht="15.75">
      <c r="A48" s="28"/>
      <c r="B48" s="29"/>
      <c r="C48" s="29"/>
      <c r="D48" s="29"/>
      <c r="E48" s="29"/>
      <c r="F48" s="29"/>
      <c r="G48" s="29"/>
      <c r="H48" s="29"/>
      <c r="I48" s="29"/>
      <c r="J48" s="29"/>
      <c r="K48" s="29"/>
      <c r="L48" s="60"/>
      <c r="M48" s="29"/>
      <c r="N48" s="6"/>
    </row>
    <row r="49" spans="1:14" ht="15.75">
      <c r="A49" s="7"/>
      <c r="B49" s="9"/>
      <c r="C49" s="9"/>
      <c r="D49" s="9"/>
      <c r="E49" s="9"/>
      <c r="F49" s="9"/>
      <c r="G49" s="9"/>
      <c r="H49" s="9"/>
      <c r="I49" s="9"/>
      <c r="J49" s="9"/>
      <c r="K49" s="9"/>
      <c r="L49" s="61"/>
      <c r="M49" s="9"/>
      <c r="N49" s="6"/>
    </row>
    <row r="50" spans="1:14" ht="16.5" thickBot="1">
      <c r="A50" s="144"/>
      <c r="B50" s="145" t="s">
        <v>194</v>
      </c>
      <c r="C50" s="146"/>
      <c r="D50" s="146"/>
      <c r="E50" s="146"/>
      <c r="F50" s="146"/>
      <c r="G50" s="146"/>
      <c r="H50" s="146"/>
      <c r="I50" s="146"/>
      <c r="J50" s="146"/>
      <c r="K50" s="146"/>
      <c r="L50" s="147"/>
      <c r="M50" s="148"/>
      <c r="N50" s="6"/>
    </row>
    <row r="51" spans="1:14" ht="15.75">
      <c r="A51" s="2"/>
      <c r="B51" s="5"/>
      <c r="C51" s="5"/>
      <c r="D51" s="5"/>
      <c r="E51" s="5"/>
      <c r="F51" s="5"/>
      <c r="G51" s="5"/>
      <c r="H51" s="5"/>
      <c r="I51" s="5"/>
      <c r="J51" s="5"/>
      <c r="K51" s="5"/>
      <c r="L51" s="62"/>
      <c r="M51" s="5"/>
      <c r="N51" s="6"/>
    </row>
    <row r="52" spans="1:14" ht="15.75">
      <c r="A52" s="7"/>
      <c r="B52" s="63" t="s">
        <v>36</v>
      </c>
      <c r="C52" s="15"/>
      <c r="D52" s="9"/>
      <c r="E52" s="9"/>
      <c r="F52" s="9"/>
      <c r="G52" s="9"/>
      <c r="H52" s="9"/>
      <c r="I52" s="9"/>
      <c r="J52" s="9"/>
      <c r="K52" s="9"/>
      <c r="L52" s="64"/>
      <c r="M52" s="9"/>
      <c r="N52" s="6"/>
    </row>
    <row r="53" spans="1:14" ht="15.75">
      <c r="A53" s="7"/>
      <c r="B53" s="15"/>
      <c r="C53" s="15"/>
      <c r="D53" s="9"/>
      <c r="E53" s="9"/>
      <c r="F53" s="9"/>
      <c r="G53" s="9"/>
      <c r="H53" s="9"/>
      <c r="I53" s="9"/>
      <c r="J53" s="9"/>
      <c r="K53" s="9"/>
      <c r="L53" s="64"/>
      <c r="M53" s="9"/>
      <c r="N53" s="6"/>
    </row>
    <row r="54" spans="1:14" s="176" customFormat="1" ht="47.25">
      <c r="A54" s="170"/>
      <c r="B54" s="171"/>
      <c r="C54" s="172" t="s">
        <v>139</v>
      </c>
      <c r="D54" s="172" t="s">
        <v>149</v>
      </c>
      <c r="E54" s="172"/>
      <c r="F54" s="172" t="s">
        <v>164</v>
      </c>
      <c r="G54" s="172"/>
      <c r="H54" s="172" t="s">
        <v>175</v>
      </c>
      <c r="I54" s="172"/>
      <c r="J54" s="172" t="s">
        <v>178</v>
      </c>
      <c r="K54" s="172"/>
      <c r="L54" s="173" t="s">
        <v>189</v>
      </c>
      <c r="M54" s="174"/>
      <c r="N54" s="175"/>
    </row>
    <row r="55" spans="1:14" ht="15.75">
      <c r="A55" s="28"/>
      <c r="B55" s="29" t="s">
        <v>37</v>
      </c>
      <c r="C55" s="66">
        <f>81776+9633</f>
        <v>91409</v>
      </c>
      <c r="D55" s="66">
        <v>80904</v>
      </c>
      <c r="E55" s="66"/>
      <c r="F55" s="66">
        <f>6500+1063+118+338+1</f>
        <v>8020</v>
      </c>
      <c r="G55" s="66"/>
      <c r="H55" s="66">
        <v>7400</v>
      </c>
      <c r="I55" s="66"/>
      <c r="J55" s="66">
        <v>0</v>
      </c>
      <c r="K55" s="66"/>
      <c r="L55" s="67">
        <f>D55-F55+H55-J55</f>
        <v>80284</v>
      </c>
      <c r="M55" s="29"/>
      <c r="N55" s="6"/>
    </row>
    <row r="56" spans="1:14" ht="15.75">
      <c r="A56" s="28"/>
      <c r="B56" s="29" t="s">
        <v>38</v>
      </c>
      <c r="C56" s="66">
        <v>1</v>
      </c>
      <c r="D56" s="66">
        <v>0</v>
      </c>
      <c r="E56" s="66"/>
      <c r="F56" s="66"/>
      <c r="G56" s="66"/>
      <c r="H56" s="66">
        <v>0</v>
      </c>
      <c r="I56" s="66"/>
      <c r="J56" s="66">
        <v>0</v>
      </c>
      <c r="K56" s="66"/>
      <c r="L56" s="67">
        <f>D56-F56</f>
        <v>0</v>
      </c>
      <c r="M56" s="29"/>
      <c r="N56" s="6"/>
    </row>
    <row r="57" spans="1:14" ht="15.75">
      <c r="A57" s="28"/>
      <c r="B57" s="29"/>
      <c r="C57" s="66"/>
      <c r="D57" s="66"/>
      <c r="E57" s="66"/>
      <c r="F57" s="66"/>
      <c r="G57" s="66"/>
      <c r="H57" s="66"/>
      <c r="I57" s="66"/>
      <c r="J57" s="66"/>
      <c r="K57" s="66"/>
      <c r="L57" s="67"/>
      <c r="M57" s="29"/>
      <c r="N57" s="6"/>
    </row>
    <row r="58" spans="1:14" ht="15.75">
      <c r="A58" s="28"/>
      <c r="B58" s="29" t="s">
        <v>39</v>
      </c>
      <c r="C58" s="66">
        <f>59449+801</f>
        <v>60250</v>
      </c>
      <c r="D58" s="66">
        <v>44331</v>
      </c>
      <c r="E58" s="66"/>
      <c r="F58" s="66">
        <v>14618</v>
      </c>
      <c r="G58" s="66"/>
      <c r="H58" s="66">
        <v>7674</v>
      </c>
      <c r="I58" s="66"/>
      <c r="J58" s="66">
        <f>SUM(J55:J57)</f>
        <v>0</v>
      </c>
      <c r="K58" s="66"/>
      <c r="L58" s="67">
        <f>D58-F58+H58-J58</f>
        <v>37387</v>
      </c>
      <c r="M58" s="29"/>
      <c r="N58" s="6"/>
    </row>
    <row r="59" spans="1:14" ht="15.75">
      <c r="A59" s="28"/>
      <c r="B59" s="29" t="s">
        <v>38</v>
      </c>
      <c r="C59" s="66">
        <v>136</v>
      </c>
      <c r="D59" s="66"/>
      <c r="E59" s="66"/>
      <c r="F59" s="66"/>
      <c r="G59" s="66"/>
      <c r="H59" s="66">
        <v>0</v>
      </c>
      <c r="I59" s="66"/>
      <c r="J59" s="66">
        <v>0</v>
      </c>
      <c r="K59" s="66"/>
      <c r="L59" s="68"/>
      <c r="M59" s="29"/>
      <c r="N59" s="6"/>
    </row>
    <row r="60" spans="1:14" ht="15.75">
      <c r="A60" s="28"/>
      <c r="B60" s="69"/>
      <c r="C60" s="66"/>
      <c r="D60" s="66"/>
      <c r="E60" s="66"/>
      <c r="F60" s="70"/>
      <c r="G60" s="66"/>
      <c r="H60" s="66"/>
      <c r="I60" s="66"/>
      <c r="J60" s="66"/>
      <c r="K60" s="66"/>
      <c r="L60" s="68"/>
      <c r="M60" s="29"/>
      <c r="N60" s="6"/>
    </row>
    <row r="61" spans="1:14" ht="15.75">
      <c r="A61" s="28"/>
      <c r="B61" s="29" t="s">
        <v>40</v>
      </c>
      <c r="C61" s="66">
        <v>25730</v>
      </c>
      <c r="D61" s="66">
        <v>63234</v>
      </c>
      <c r="E61" s="66"/>
      <c r="F61" s="66">
        <v>7975</v>
      </c>
      <c r="G61" s="66"/>
      <c r="H61" s="66">
        <v>9349</v>
      </c>
      <c r="I61" s="66"/>
      <c r="J61" s="66">
        <v>0</v>
      </c>
      <c r="K61" s="66"/>
      <c r="L61" s="67">
        <f>D61-F61+H61-J61</f>
        <v>64608</v>
      </c>
      <c r="M61" s="29"/>
      <c r="N61" s="6"/>
    </row>
    <row r="62" spans="1:14" ht="15.75">
      <c r="A62" s="28"/>
      <c r="B62" s="29" t="s">
        <v>38</v>
      </c>
      <c r="C62" s="66">
        <v>260</v>
      </c>
      <c r="D62" s="67">
        <v>0</v>
      </c>
      <c r="E62" s="66"/>
      <c r="F62" s="66"/>
      <c r="G62" s="66"/>
      <c r="H62" s="66">
        <v>0</v>
      </c>
      <c r="I62" s="66"/>
      <c r="J62" s="66">
        <v>0</v>
      </c>
      <c r="K62" s="66"/>
      <c r="L62" s="67">
        <f>D62-F62+H62-J62</f>
        <v>0</v>
      </c>
      <c r="M62" s="29"/>
      <c r="N62" s="6"/>
    </row>
    <row r="63" spans="1:14" ht="15.75">
      <c r="A63" s="28"/>
      <c r="B63" s="29"/>
      <c r="C63" s="66"/>
      <c r="D63" s="67"/>
      <c r="E63" s="66"/>
      <c r="F63" s="66"/>
      <c r="G63" s="66"/>
      <c r="H63" s="66"/>
      <c r="I63" s="66"/>
      <c r="J63" s="66"/>
      <c r="K63" s="66"/>
      <c r="L63" s="67"/>
      <c r="M63" s="29"/>
      <c r="N63" s="6"/>
    </row>
    <row r="64" spans="1:14" ht="15.75">
      <c r="A64" s="28"/>
      <c r="B64" s="29" t="s">
        <v>41</v>
      </c>
      <c r="C64" s="66">
        <v>26410</v>
      </c>
      <c r="D64" s="67">
        <v>46643</v>
      </c>
      <c r="E64" s="66"/>
      <c r="F64" s="66">
        <f>6417+48+39</f>
        <v>6504</v>
      </c>
      <c r="G64" s="66"/>
      <c r="H64" s="66">
        <v>9952</v>
      </c>
      <c r="I64" s="66"/>
      <c r="J64" s="66">
        <v>0</v>
      </c>
      <c r="K64" s="66"/>
      <c r="L64" s="67">
        <f>D64-F64+H64-J64</f>
        <v>50091</v>
      </c>
      <c r="M64" s="29"/>
      <c r="N64" s="6"/>
    </row>
    <row r="65" spans="1:14" ht="15.75">
      <c r="A65" s="28"/>
      <c r="B65" s="29" t="s">
        <v>38</v>
      </c>
      <c r="C65" s="66">
        <v>229</v>
      </c>
      <c r="D65" s="67"/>
      <c r="E65" s="66"/>
      <c r="F65" s="66"/>
      <c r="G65" s="66"/>
      <c r="H65" s="66">
        <v>0</v>
      </c>
      <c r="I65" s="66"/>
      <c r="J65" s="66">
        <v>0</v>
      </c>
      <c r="K65" s="66"/>
      <c r="L65" s="67"/>
      <c r="M65" s="29"/>
      <c r="N65" s="6"/>
    </row>
    <row r="66" spans="1:14" ht="15.75">
      <c r="A66" s="28"/>
      <c r="B66" s="66"/>
      <c r="C66" s="66"/>
      <c r="D66" s="67"/>
      <c r="E66" s="66"/>
      <c r="F66" s="66"/>
      <c r="G66" s="66"/>
      <c r="H66" s="66"/>
      <c r="I66" s="66"/>
      <c r="J66" s="66"/>
      <c r="K66" s="66"/>
      <c r="L66" s="67"/>
      <c r="M66" s="29"/>
      <c r="N66" s="6"/>
    </row>
    <row r="67" spans="1:14" ht="15.75">
      <c r="A67" s="28"/>
      <c r="B67" s="29" t="s">
        <v>42</v>
      </c>
      <c r="C67" s="66">
        <f>SUM(C55:C65)</f>
        <v>204425</v>
      </c>
      <c r="D67" s="66">
        <f>SUM(D55:D64)</f>
        <v>235112</v>
      </c>
      <c r="E67" s="66"/>
      <c r="F67" s="66">
        <f>SUM(F55:F65)</f>
        <v>37117</v>
      </c>
      <c r="G67" s="66"/>
      <c r="H67" s="66">
        <f>SUM(H55:H65)</f>
        <v>34375</v>
      </c>
      <c r="I67" s="66"/>
      <c r="J67" s="66">
        <f>SUM(J62:J66)</f>
        <v>0</v>
      </c>
      <c r="K67" s="66"/>
      <c r="L67" s="66">
        <f>SUM(L55:L66)</f>
        <v>232370</v>
      </c>
      <c r="M67" s="29"/>
      <c r="N67" s="6"/>
    </row>
    <row r="68" spans="1:14" ht="15.75">
      <c r="A68" s="28"/>
      <c r="B68" s="29"/>
      <c r="C68" s="66"/>
      <c r="D68" s="68"/>
      <c r="E68" s="66"/>
      <c r="F68" s="66"/>
      <c r="G68" s="66"/>
      <c r="H68" s="66"/>
      <c r="I68" s="66"/>
      <c r="J68" s="66"/>
      <c r="K68" s="66"/>
      <c r="L68" s="68"/>
      <c r="M68" s="29"/>
      <c r="N68" s="6"/>
    </row>
    <row r="69" spans="1:14" ht="15.75">
      <c r="A69" s="28"/>
      <c r="B69" s="29" t="s">
        <v>43</v>
      </c>
      <c r="C69" s="66">
        <f>-1789-10434</f>
        <v>-12223</v>
      </c>
      <c r="D69" s="66">
        <v>-19353</v>
      </c>
      <c r="E69" s="66"/>
      <c r="F69" s="66">
        <f>1909+294+56</f>
        <v>2259</v>
      </c>
      <c r="G69" s="66"/>
      <c r="H69" s="66"/>
      <c r="I69" s="66"/>
      <c r="J69" s="66"/>
      <c r="K69" s="66"/>
      <c r="L69" s="66">
        <f>D69-F69</f>
        <v>-21612</v>
      </c>
      <c r="M69" s="29"/>
      <c r="N69" s="6"/>
    </row>
    <row r="70" spans="1:14" ht="15.75">
      <c r="A70" s="28"/>
      <c r="B70" s="29" t="s">
        <v>44</v>
      </c>
      <c r="C70" s="66">
        <v>58798</v>
      </c>
      <c r="D70" s="68">
        <v>35241</v>
      </c>
      <c r="E70" s="66"/>
      <c r="F70" s="66">
        <f>SUM(F67:F69)</f>
        <v>39376</v>
      </c>
      <c r="G70" s="66"/>
      <c r="H70" s="66">
        <f>-H67</f>
        <v>-34375</v>
      </c>
      <c r="I70" s="66"/>
      <c r="J70" s="66"/>
      <c r="K70" s="66"/>
      <c r="L70" s="68">
        <f>D70+F70+H70+D73</f>
        <v>40242</v>
      </c>
      <c r="M70" s="29"/>
      <c r="N70" s="6"/>
    </row>
    <row r="71" spans="1:14" ht="15.75">
      <c r="A71" s="28"/>
      <c r="B71" s="29" t="s">
        <v>45</v>
      </c>
      <c r="C71" s="66">
        <v>0</v>
      </c>
      <c r="D71" s="68">
        <v>0</v>
      </c>
      <c r="E71" s="66"/>
      <c r="F71" s="66"/>
      <c r="G71" s="66"/>
      <c r="H71" s="66">
        <v>0</v>
      </c>
      <c r="I71" s="66"/>
      <c r="J71" s="66"/>
      <c r="K71" s="66"/>
      <c r="L71" s="68">
        <f>H71+D71</f>
        <v>0</v>
      </c>
      <c r="M71" s="29"/>
      <c r="N71" s="6"/>
    </row>
    <row r="72" spans="1:14" ht="15.75">
      <c r="A72" s="28"/>
      <c r="B72" s="29" t="s">
        <v>46</v>
      </c>
      <c r="C72" s="66">
        <v>0</v>
      </c>
      <c r="D72" s="68">
        <v>0</v>
      </c>
      <c r="E72" s="66"/>
      <c r="F72" s="66">
        <v>0</v>
      </c>
      <c r="G72" s="66"/>
      <c r="H72" s="66"/>
      <c r="I72" s="66"/>
      <c r="J72" s="66"/>
      <c r="K72" s="66"/>
      <c r="L72" s="68">
        <f>D72+F72+H72</f>
        <v>0</v>
      </c>
      <c r="M72" s="29"/>
      <c r="N72" s="6"/>
    </row>
    <row r="73" spans="1:14" ht="15.75">
      <c r="A73" s="28"/>
      <c r="B73" s="29" t="s">
        <v>47</v>
      </c>
      <c r="C73" s="66">
        <v>0</v>
      </c>
      <c r="D73" s="68">
        <v>0</v>
      </c>
      <c r="E73" s="66"/>
      <c r="F73" s="66"/>
      <c r="G73" s="66"/>
      <c r="H73" s="71"/>
      <c r="I73" s="66"/>
      <c r="J73" s="66"/>
      <c r="K73" s="66"/>
      <c r="L73" s="68">
        <v>0</v>
      </c>
      <c r="M73" s="29"/>
      <c r="N73" s="6"/>
    </row>
    <row r="74" spans="1:14" ht="15.75">
      <c r="A74" s="28"/>
      <c r="B74" s="29" t="s">
        <v>19</v>
      </c>
      <c r="C74" s="68">
        <f>SUM(C67:C73)</f>
        <v>251000</v>
      </c>
      <c r="D74" s="68">
        <f>SUM(D67:D73)</f>
        <v>251000</v>
      </c>
      <c r="E74" s="66"/>
      <c r="F74" s="66">
        <f>F70-F73-F72</f>
        <v>39376</v>
      </c>
      <c r="G74" s="66"/>
      <c r="H74" s="66"/>
      <c r="I74" s="66"/>
      <c r="J74" s="66"/>
      <c r="K74" s="66"/>
      <c r="L74" s="68">
        <f>SUM(L67:L73)</f>
        <v>251000</v>
      </c>
      <c r="M74" s="29"/>
      <c r="N74" s="6"/>
    </row>
    <row r="75" spans="1:14" ht="15.75">
      <c r="A75" s="28"/>
      <c r="B75" s="66"/>
      <c r="C75" s="29"/>
      <c r="D75" s="29"/>
      <c r="E75" s="29"/>
      <c r="F75" s="29"/>
      <c r="G75" s="29"/>
      <c r="H75" s="29"/>
      <c r="I75" s="29"/>
      <c r="J75" s="36"/>
      <c r="K75" s="29"/>
      <c r="L75" s="36"/>
      <c r="M75" s="29"/>
      <c r="N75" s="6"/>
    </row>
    <row r="76" spans="1:14" ht="15.75">
      <c r="A76" s="7"/>
      <c r="B76" s="63" t="s">
        <v>48</v>
      </c>
      <c r="C76" s="16"/>
      <c r="D76" s="16"/>
      <c r="E76" s="16"/>
      <c r="F76" s="16"/>
      <c r="G76" s="16"/>
      <c r="H76" s="16"/>
      <c r="I76" s="19"/>
      <c r="J76" s="19"/>
      <c r="K76" s="19"/>
      <c r="L76" s="19" t="s">
        <v>190</v>
      </c>
      <c r="M76" s="16"/>
      <c r="N76" s="6"/>
    </row>
    <row r="77" spans="1:14" ht="15.75">
      <c r="A77" s="28"/>
      <c r="B77" s="29" t="s">
        <v>49</v>
      </c>
      <c r="C77" s="29"/>
      <c r="D77" s="29"/>
      <c r="E77" s="29"/>
      <c r="F77" s="29"/>
      <c r="G77" s="29"/>
      <c r="H77" s="29"/>
      <c r="I77" s="29"/>
      <c r="J77" s="66"/>
      <c r="K77" s="29"/>
      <c r="L77" s="67">
        <f>54374+43+24+3-9</f>
        <v>54435</v>
      </c>
      <c r="M77" s="29"/>
      <c r="N77" s="6"/>
    </row>
    <row r="78" spans="1:14" ht="15.75">
      <c r="A78" s="28"/>
      <c r="B78" s="29" t="s">
        <v>50</v>
      </c>
      <c r="C78" s="53"/>
      <c r="D78" s="57"/>
      <c r="E78" s="29"/>
      <c r="F78" s="29"/>
      <c r="G78" s="29"/>
      <c r="H78" s="29"/>
      <c r="I78" s="29"/>
      <c r="J78" s="66"/>
      <c r="K78" s="29"/>
      <c r="L78" s="67">
        <f>936+225+155</f>
        <v>1316</v>
      </c>
      <c r="M78" s="29"/>
      <c r="N78" s="6"/>
    </row>
    <row r="79" spans="1:14" ht="15.75">
      <c r="A79" s="28"/>
      <c r="B79" s="29" t="s">
        <v>51</v>
      </c>
      <c r="C79" s="53"/>
      <c r="D79" s="57"/>
      <c r="E79" s="29"/>
      <c r="F79" s="29"/>
      <c r="G79" s="29"/>
      <c r="H79" s="29"/>
      <c r="I79" s="29"/>
      <c r="J79" s="66"/>
      <c r="K79" s="29"/>
      <c r="L79" s="67">
        <v>-10793</v>
      </c>
      <c r="M79" s="29"/>
      <c r="N79" s="6"/>
    </row>
    <row r="80" spans="1:14" ht="15.75">
      <c r="A80" s="28"/>
      <c r="B80" s="29" t="s">
        <v>192</v>
      </c>
      <c r="C80" s="53"/>
      <c r="D80" s="57"/>
      <c r="E80" s="29"/>
      <c r="F80" s="29"/>
      <c r="G80" s="29"/>
      <c r="H80" s="29"/>
      <c r="I80" s="29"/>
      <c r="J80" s="66"/>
      <c r="K80" s="29"/>
      <c r="L80" s="67">
        <v>-20</v>
      </c>
      <c r="M80" s="29"/>
      <c r="N80" s="6"/>
    </row>
    <row r="81" spans="1:14" ht="15.75">
      <c r="A81" s="28"/>
      <c r="B81" s="29" t="s">
        <v>52</v>
      </c>
      <c r="C81" s="29"/>
      <c r="D81" s="29"/>
      <c r="E81" s="29"/>
      <c r="F81" s="29"/>
      <c r="G81" s="29"/>
      <c r="H81" s="29"/>
      <c r="I81" s="29"/>
      <c r="J81" s="66"/>
      <c r="K81" s="29"/>
      <c r="L81" s="67">
        <v>0</v>
      </c>
      <c r="M81" s="29"/>
      <c r="N81" s="6"/>
    </row>
    <row r="82" spans="1:14" ht="15.75">
      <c r="A82" s="28"/>
      <c r="B82" s="29" t="s">
        <v>53</v>
      </c>
      <c r="C82" s="29"/>
      <c r="D82" s="29"/>
      <c r="E82" s="29"/>
      <c r="F82" s="29"/>
      <c r="G82" s="29"/>
      <c r="H82" s="29"/>
      <c r="I82" s="29"/>
      <c r="J82" s="66"/>
      <c r="K82" s="29"/>
      <c r="L82" s="67">
        <f>SUM(L77:L81)</f>
        <v>44938</v>
      </c>
      <c r="M82" s="29"/>
      <c r="N82" s="6"/>
    </row>
    <row r="83" spans="1:14" ht="15.75">
      <c r="A83" s="28"/>
      <c r="B83" s="29"/>
      <c r="C83" s="29"/>
      <c r="D83" s="29"/>
      <c r="E83" s="29"/>
      <c r="F83" s="29"/>
      <c r="G83" s="29"/>
      <c r="H83" s="29"/>
      <c r="I83" s="29"/>
      <c r="J83" s="66"/>
      <c r="K83" s="29"/>
      <c r="L83" s="68"/>
      <c r="M83" s="29"/>
      <c r="N83" s="6"/>
    </row>
    <row r="84" spans="1:14" ht="15.75">
      <c r="A84" s="28"/>
      <c r="B84" s="164" t="s">
        <v>54</v>
      </c>
      <c r="C84" s="73"/>
      <c r="D84" s="29"/>
      <c r="E84" s="29"/>
      <c r="F84" s="29"/>
      <c r="G84" s="29"/>
      <c r="H84" s="29"/>
      <c r="I84" s="29"/>
      <c r="J84" s="66"/>
      <c r="K84" s="29"/>
      <c r="L84" s="67"/>
      <c r="M84" s="29"/>
      <c r="N84" s="6"/>
    </row>
    <row r="85" spans="1:14" ht="15.75">
      <c r="A85" s="28">
        <v>1</v>
      </c>
      <c r="B85" s="29" t="s">
        <v>55</v>
      </c>
      <c r="C85" s="29"/>
      <c r="D85" s="29"/>
      <c r="E85" s="29"/>
      <c r="F85" s="29"/>
      <c r="G85" s="29"/>
      <c r="H85" s="29"/>
      <c r="I85" s="29"/>
      <c r="J85" s="29"/>
      <c r="K85" s="29"/>
      <c r="L85" s="67">
        <v>-5</v>
      </c>
      <c r="M85" s="29"/>
      <c r="N85" s="6"/>
    </row>
    <row r="86" spans="1:14" ht="15.75">
      <c r="A86" s="28">
        <f aca="true" t="shared" si="0" ref="A86:A94">A85+1</f>
        <v>2</v>
      </c>
      <c r="B86" s="29" t="s">
        <v>56</v>
      </c>
      <c r="C86" s="29"/>
      <c r="D86" s="29"/>
      <c r="E86" s="29"/>
      <c r="F86" s="29"/>
      <c r="G86" s="29"/>
      <c r="H86" s="29"/>
      <c r="I86" s="29"/>
      <c r="J86" s="29"/>
      <c r="K86" s="29"/>
      <c r="L86" s="67">
        <f>-507-62</f>
        <v>-569</v>
      </c>
      <c r="M86" s="29"/>
      <c r="N86" s="6"/>
    </row>
    <row r="87" spans="1:14" ht="15.75">
      <c r="A87" s="28">
        <f t="shared" si="0"/>
        <v>3</v>
      </c>
      <c r="B87" s="29" t="s">
        <v>57</v>
      </c>
      <c r="C87" s="29"/>
      <c r="D87" s="29"/>
      <c r="E87" s="29"/>
      <c r="F87" s="29"/>
      <c r="G87" s="29"/>
      <c r="H87" s="29"/>
      <c r="I87" s="29"/>
      <c r="J87" s="29"/>
      <c r="K87" s="29"/>
      <c r="L87" s="67">
        <v>-540</v>
      </c>
      <c r="M87" s="29"/>
      <c r="N87" s="6"/>
    </row>
    <row r="88" spans="1:14" ht="15.75">
      <c r="A88" s="28">
        <f t="shared" si="0"/>
        <v>4</v>
      </c>
      <c r="B88" s="29" t="s">
        <v>58</v>
      </c>
      <c r="C88" s="29"/>
      <c r="D88" s="29"/>
      <c r="E88" s="29"/>
      <c r="F88" s="29"/>
      <c r="G88" s="29"/>
      <c r="H88" s="29"/>
      <c r="I88" s="29"/>
      <c r="J88" s="29"/>
      <c r="K88" s="29"/>
      <c r="L88" s="67">
        <v>-2020</v>
      </c>
      <c r="M88" s="29"/>
      <c r="N88" s="6"/>
    </row>
    <row r="89" spans="1:14" ht="15.75">
      <c r="A89" s="28">
        <f t="shared" si="0"/>
        <v>5</v>
      </c>
      <c r="B89" s="29" t="s">
        <v>59</v>
      </c>
      <c r="C89" s="29"/>
      <c r="D89" s="29"/>
      <c r="E89" s="29"/>
      <c r="F89" s="29"/>
      <c r="G89" s="29"/>
      <c r="H89" s="29"/>
      <c r="I89" s="29"/>
      <c r="J89" s="29"/>
      <c r="K89" s="29"/>
      <c r="L89" s="67">
        <v>-5</v>
      </c>
      <c r="M89" s="29"/>
      <c r="N89" s="6"/>
    </row>
    <row r="90" spans="1:14" ht="15.75">
      <c r="A90" s="28">
        <f t="shared" si="0"/>
        <v>6</v>
      </c>
      <c r="B90" s="29" t="s">
        <v>60</v>
      </c>
      <c r="C90" s="29"/>
      <c r="D90" s="29"/>
      <c r="E90" s="29"/>
      <c r="F90" s="29"/>
      <c r="G90" s="29"/>
      <c r="H90" s="29"/>
      <c r="I90" s="29"/>
      <c r="J90" s="29"/>
      <c r="K90" s="29"/>
      <c r="L90" s="67">
        <v>-657</v>
      </c>
      <c r="M90" s="29"/>
      <c r="N90" s="6"/>
    </row>
    <row r="91" spans="1:14" ht="15.75">
      <c r="A91" s="28">
        <f t="shared" si="0"/>
        <v>7</v>
      </c>
      <c r="B91" s="29" t="s">
        <v>61</v>
      </c>
      <c r="C91" s="29"/>
      <c r="D91" s="29"/>
      <c r="E91" s="29"/>
      <c r="F91" s="29"/>
      <c r="G91" s="29"/>
      <c r="H91" s="29"/>
      <c r="I91" s="29"/>
      <c r="J91" s="29"/>
      <c r="K91" s="29"/>
      <c r="L91" s="67">
        <v>-350</v>
      </c>
      <c r="M91" s="29"/>
      <c r="N91" s="6"/>
    </row>
    <row r="92" spans="1:14" ht="15.75">
      <c r="A92" s="28">
        <f t="shared" si="0"/>
        <v>8</v>
      </c>
      <c r="B92" s="29" t="s">
        <v>62</v>
      </c>
      <c r="C92" s="29"/>
      <c r="D92" s="29"/>
      <c r="E92" s="29"/>
      <c r="F92" s="29"/>
      <c r="G92" s="29"/>
      <c r="H92" s="29"/>
      <c r="I92" s="29"/>
      <c r="J92" s="29"/>
      <c r="K92" s="29"/>
      <c r="L92" s="67">
        <v>0</v>
      </c>
      <c r="M92" s="29"/>
      <c r="N92" s="6"/>
    </row>
    <row r="93" spans="1:14" ht="15.75">
      <c r="A93" s="28">
        <f t="shared" si="0"/>
        <v>9</v>
      </c>
      <c r="B93" s="29" t="s">
        <v>44</v>
      </c>
      <c r="C93" s="29"/>
      <c r="D93" s="29"/>
      <c r="E93" s="29"/>
      <c r="F93" s="29"/>
      <c r="G93" s="29"/>
      <c r="H93" s="29"/>
      <c r="I93" s="29"/>
      <c r="J93" s="66"/>
      <c r="K93" s="29"/>
      <c r="L93" s="67">
        <f>L82+SUM(L85:L91)-L94</f>
        <v>40244</v>
      </c>
      <c r="M93" s="29"/>
      <c r="N93" s="6"/>
    </row>
    <row r="94" spans="1:15" ht="15.75">
      <c r="A94" s="28">
        <f t="shared" si="0"/>
        <v>10</v>
      </c>
      <c r="B94" s="29" t="s">
        <v>63</v>
      </c>
      <c r="C94" s="29"/>
      <c r="D94" s="29"/>
      <c r="E94" s="29"/>
      <c r="F94" s="29"/>
      <c r="G94" s="29"/>
      <c r="H94" s="29"/>
      <c r="I94" s="29"/>
      <c r="J94" s="29"/>
      <c r="K94" s="29"/>
      <c r="L94" s="67">
        <f>J195+SUM(L82:L91)+J197-J200</f>
        <v>548</v>
      </c>
      <c r="M94" s="29"/>
      <c r="N94" s="6"/>
      <c r="O94" s="72"/>
    </row>
    <row r="95" spans="1:14" ht="15.75">
      <c r="A95" s="28"/>
      <c r="B95" s="32"/>
      <c r="C95" s="29"/>
      <c r="D95" s="29"/>
      <c r="E95" s="29"/>
      <c r="F95" s="29"/>
      <c r="G95" s="29"/>
      <c r="H95" s="29"/>
      <c r="I95" s="29"/>
      <c r="J95" s="66"/>
      <c r="K95" s="66"/>
      <c r="L95" s="66"/>
      <c r="M95" s="29"/>
      <c r="N95" s="6"/>
    </row>
    <row r="96" spans="1:14" ht="15.75">
      <c r="A96" s="7"/>
      <c r="B96" s="14"/>
      <c r="C96" s="9"/>
      <c r="D96" s="9"/>
      <c r="E96" s="9"/>
      <c r="F96" s="9"/>
      <c r="G96" s="9"/>
      <c r="H96" s="9"/>
      <c r="I96" s="9"/>
      <c r="J96" s="74"/>
      <c r="K96" s="74"/>
      <c r="L96" s="74"/>
      <c r="M96" s="9"/>
      <c r="N96" s="6"/>
    </row>
    <row r="97" spans="1:14" ht="16.5" thickBot="1">
      <c r="A97" s="144"/>
      <c r="B97" s="145" t="str">
        <f>B50</f>
        <v>PPAF1 INVESTOR REPORT QUARTER ENDING MAY 2002</v>
      </c>
      <c r="C97" s="146"/>
      <c r="D97" s="146"/>
      <c r="E97" s="146"/>
      <c r="F97" s="146"/>
      <c r="G97" s="146"/>
      <c r="H97" s="146"/>
      <c r="I97" s="146"/>
      <c r="J97" s="149"/>
      <c r="K97" s="149"/>
      <c r="L97" s="149"/>
      <c r="M97" s="148"/>
      <c r="N97" s="6"/>
    </row>
    <row r="98" spans="1:14" ht="15.75">
      <c r="A98" s="2"/>
      <c r="B98" s="5"/>
      <c r="C98" s="5"/>
      <c r="D98" s="5"/>
      <c r="E98" s="5"/>
      <c r="F98" s="5"/>
      <c r="G98" s="5"/>
      <c r="H98" s="5"/>
      <c r="I98" s="5"/>
      <c r="J98" s="75"/>
      <c r="K98" s="75"/>
      <c r="L98" s="75"/>
      <c r="M98" s="5"/>
      <c r="N98" s="6"/>
    </row>
    <row r="99" spans="1:14" ht="15.75">
      <c r="A99" s="76"/>
      <c r="B99" s="77" t="s">
        <v>64</v>
      </c>
      <c r="C99" s="78"/>
      <c r="D99" s="78"/>
      <c r="E99" s="78"/>
      <c r="F99" s="78"/>
      <c r="G99" s="78"/>
      <c r="H99" s="78"/>
      <c r="I99" s="78"/>
      <c r="J99" s="78"/>
      <c r="K99" s="78"/>
      <c r="L99" s="79"/>
      <c r="M99" s="80"/>
      <c r="N99" s="6"/>
    </row>
    <row r="100" spans="1:14" ht="15.75">
      <c r="A100" s="76"/>
      <c r="B100" s="78"/>
      <c r="C100" s="78"/>
      <c r="D100" s="78"/>
      <c r="E100" s="78"/>
      <c r="F100" s="78"/>
      <c r="G100" s="78"/>
      <c r="H100" s="78"/>
      <c r="I100" s="78"/>
      <c r="J100" s="78"/>
      <c r="K100" s="78"/>
      <c r="L100" s="79"/>
      <c r="M100" s="78"/>
      <c r="N100" s="6"/>
    </row>
    <row r="101" spans="1:14" ht="15.75">
      <c r="A101" s="7"/>
      <c r="B101" s="165" t="s">
        <v>65</v>
      </c>
      <c r="C101" s="15"/>
      <c r="D101" s="9"/>
      <c r="E101" s="9"/>
      <c r="F101" s="9"/>
      <c r="G101" s="9"/>
      <c r="H101" s="9"/>
      <c r="I101" s="9"/>
      <c r="J101" s="9"/>
      <c r="K101" s="9"/>
      <c r="L101" s="64"/>
      <c r="M101" s="9"/>
      <c r="N101" s="6"/>
    </row>
    <row r="102" spans="1:14" ht="15.75">
      <c r="A102" s="28"/>
      <c r="B102" s="29" t="s">
        <v>66</v>
      </c>
      <c r="C102" s="29"/>
      <c r="D102" s="29"/>
      <c r="E102" s="29"/>
      <c r="F102" s="29"/>
      <c r="G102" s="29"/>
      <c r="H102" s="29"/>
      <c r="I102" s="29"/>
      <c r="J102" s="29"/>
      <c r="K102" s="29"/>
      <c r="L102" s="67">
        <f>10793+400</f>
        <v>11193</v>
      </c>
      <c r="M102" s="29"/>
      <c r="N102" s="6"/>
    </row>
    <row r="103" spans="1:14" ht="15.75">
      <c r="A103" s="28"/>
      <c r="B103" s="29" t="s">
        <v>67</v>
      </c>
      <c r="C103" s="29"/>
      <c r="D103" s="29"/>
      <c r="E103" s="29"/>
      <c r="F103" s="29"/>
      <c r="G103" s="29"/>
      <c r="H103" s="29"/>
      <c r="I103" s="29"/>
      <c r="J103" s="29"/>
      <c r="K103" s="29"/>
      <c r="L103" s="67">
        <v>10793</v>
      </c>
      <c r="M103" s="29"/>
      <c r="N103" s="6"/>
    </row>
    <row r="104" spans="1:14" ht="15.75">
      <c r="A104" s="28"/>
      <c r="B104" s="29" t="s">
        <v>68</v>
      </c>
      <c r="C104" s="29"/>
      <c r="D104" s="29"/>
      <c r="E104" s="29"/>
      <c r="F104" s="29"/>
      <c r="G104" s="29"/>
      <c r="H104" s="29"/>
      <c r="I104" s="29"/>
      <c r="J104" s="29"/>
      <c r="K104" s="29"/>
      <c r="L104" s="67">
        <v>0</v>
      </c>
      <c r="M104" s="29"/>
      <c r="N104" s="6"/>
    </row>
    <row r="105" spans="1:14" ht="15.75">
      <c r="A105" s="28"/>
      <c r="B105" s="29" t="s">
        <v>69</v>
      </c>
      <c r="C105" s="29"/>
      <c r="D105" s="29"/>
      <c r="E105" s="29"/>
      <c r="F105" s="29"/>
      <c r="G105" s="29"/>
      <c r="H105" s="29"/>
      <c r="I105" s="29"/>
      <c r="J105" s="29"/>
      <c r="K105" s="29"/>
      <c r="L105" s="67">
        <v>0</v>
      </c>
      <c r="M105" s="29"/>
      <c r="N105" s="6"/>
    </row>
    <row r="106" spans="1:14" ht="15.75">
      <c r="A106" s="28"/>
      <c r="B106" s="29" t="s">
        <v>70</v>
      </c>
      <c r="C106" s="29"/>
      <c r="D106" s="29"/>
      <c r="E106" s="29"/>
      <c r="F106" s="29"/>
      <c r="G106" s="29"/>
      <c r="H106" s="29"/>
      <c r="I106" s="29"/>
      <c r="J106" s="29"/>
      <c r="K106" s="29"/>
      <c r="L106" s="67">
        <v>0</v>
      </c>
      <c r="M106" s="29"/>
      <c r="N106" s="6"/>
    </row>
    <row r="107" spans="1:14" ht="15.75">
      <c r="A107" s="28"/>
      <c r="B107" s="29" t="s">
        <v>58</v>
      </c>
      <c r="C107" s="29"/>
      <c r="D107" s="29"/>
      <c r="E107" s="29"/>
      <c r="F107" s="29"/>
      <c r="G107" s="29"/>
      <c r="H107" s="29"/>
      <c r="I107" s="29"/>
      <c r="J107" s="29"/>
      <c r="K107" s="29"/>
      <c r="L107" s="67">
        <v>0</v>
      </c>
      <c r="M107" s="29"/>
      <c r="N107" s="6"/>
    </row>
    <row r="108" spans="1:14" ht="15.75">
      <c r="A108" s="28"/>
      <c r="B108" s="29" t="s">
        <v>60</v>
      </c>
      <c r="C108" s="29"/>
      <c r="D108" s="29"/>
      <c r="E108" s="29"/>
      <c r="F108" s="29"/>
      <c r="G108" s="29"/>
      <c r="H108" s="29"/>
      <c r="I108" s="29"/>
      <c r="J108" s="29"/>
      <c r="K108" s="29"/>
      <c r="L108" s="67">
        <v>0</v>
      </c>
      <c r="M108" s="29"/>
      <c r="N108" s="6"/>
    </row>
    <row r="109" spans="1:14" ht="15.75">
      <c r="A109" s="28"/>
      <c r="B109" s="29" t="s">
        <v>61</v>
      </c>
      <c r="C109" s="29"/>
      <c r="D109" s="29"/>
      <c r="E109" s="29"/>
      <c r="F109" s="29"/>
      <c r="G109" s="29"/>
      <c r="H109" s="29"/>
      <c r="I109" s="29"/>
      <c r="J109" s="29"/>
      <c r="K109" s="29"/>
      <c r="L109" s="67">
        <v>0</v>
      </c>
      <c r="M109" s="29"/>
      <c r="N109" s="6"/>
    </row>
    <row r="110" spans="1:14" ht="15.75">
      <c r="A110" s="28"/>
      <c r="B110" s="29" t="s">
        <v>71</v>
      </c>
      <c r="C110" s="29"/>
      <c r="D110" s="29"/>
      <c r="E110" s="29"/>
      <c r="F110" s="29"/>
      <c r="G110" s="29"/>
      <c r="H110" s="29"/>
      <c r="I110" s="29"/>
      <c r="J110" s="29"/>
      <c r="K110" s="29"/>
      <c r="L110" s="67">
        <f>L103</f>
        <v>10793</v>
      </c>
      <c r="M110" s="29"/>
      <c r="N110" s="6"/>
    </row>
    <row r="111" spans="1:14" ht="15.75">
      <c r="A111" s="28"/>
      <c r="B111" s="29"/>
      <c r="C111" s="29"/>
      <c r="D111" s="29"/>
      <c r="E111" s="29"/>
      <c r="F111" s="29"/>
      <c r="G111" s="29"/>
      <c r="H111" s="29"/>
      <c r="I111" s="29"/>
      <c r="J111" s="29"/>
      <c r="K111" s="29"/>
      <c r="L111" s="81"/>
      <c r="M111" s="29"/>
      <c r="N111" s="6"/>
    </row>
    <row r="112" spans="1:14" ht="15.75">
      <c r="A112" s="7"/>
      <c r="B112" s="165" t="s">
        <v>72</v>
      </c>
      <c r="C112" s="15"/>
      <c r="D112" s="9"/>
      <c r="E112" s="9"/>
      <c r="F112" s="9"/>
      <c r="G112" s="82"/>
      <c r="H112" s="9"/>
      <c r="I112" s="9"/>
      <c r="J112" s="9"/>
      <c r="K112" s="9"/>
      <c r="L112" s="83"/>
      <c r="M112" s="9"/>
      <c r="N112" s="6"/>
    </row>
    <row r="113" spans="1:14" ht="15.75">
      <c r="A113" s="7"/>
      <c r="B113" s="15"/>
      <c r="C113" s="19" t="s">
        <v>140</v>
      </c>
      <c r="D113" s="19" t="s">
        <v>150</v>
      </c>
      <c r="E113" s="19" t="s">
        <v>156</v>
      </c>
      <c r="F113" s="19" t="s">
        <v>165</v>
      </c>
      <c r="G113" s="82"/>
      <c r="H113" s="82"/>
      <c r="I113" s="9"/>
      <c r="J113" s="9"/>
      <c r="K113" s="9"/>
      <c r="L113" s="83"/>
      <c r="M113" s="9"/>
      <c r="N113" s="6"/>
    </row>
    <row r="114" spans="1:14" ht="15.75">
      <c r="A114" s="28"/>
      <c r="B114" s="29" t="s">
        <v>73</v>
      </c>
      <c r="C114" s="29">
        <v>1909</v>
      </c>
      <c r="D114" s="29">
        <v>294</v>
      </c>
      <c r="E114" s="29">
        <v>56</v>
      </c>
      <c r="F114" s="29">
        <v>0</v>
      </c>
      <c r="G114" s="84"/>
      <c r="H114" s="84"/>
      <c r="I114" s="29"/>
      <c r="J114" s="29"/>
      <c r="K114" s="29"/>
      <c r="L114" s="67">
        <f>SUM(C114:F114)</f>
        <v>2259</v>
      </c>
      <c r="M114" s="29"/>
      <c r="N114" s="6"/>
    </row>
    <row r="115" spans="1:14" ht="15.75">
      <c r="A115" s="28"/>
      <c r="B115" s="29" t="s">
        <v>74</v>
      </c>
      <c r="C115" s="29">
        <v>118</v>
      </c>
      <c r="D115" s="29">
        <v>0</v>
      </c>
      <c r="E115" s="29">
        <v>0</v>
      </c>
      <c r="F115" s="29">
        <v>48</v>
      </c>
      <c r="G115" s="84"/>
      <c r="H115" s="84"/>
      <c r="I115" s="29"/>
      <c r="J115" s="29"/>
      <c r="K115" s="29"/>
      <c r="L115" s="67">
        <f>SUM(C115:F115)</f>
        <v>166</v>
      </c>
      <c r="M115" s="29"/>
      <c r="N115" s="6"/>
    </row>
    <row r="116" spans="1:14" ht="15.75">
      <c r="A116" s="28"/>
      <c r="B116" s="29" t="s">
        <v>75</v>
      </c>
      <c r="C116" s="29"/>
      <c r="D116" s="29"/>
      <c r="E116" s="29"/>
      <c r="F116" s="29"/>
      <c r="G116" s="29"/>
      <c r="H116" s="29"/>
      <c r="I116" s="29"/>
      <c r="J116" s="29"/>
      <c r="K116" s="29"/>
      <c r="L116" s="67">
        <f>SUM(L114:L115)</f>
        <v>2425</v>
      </c>
      <c r="M116" s="29"/>
      <c r="N116" s="6"/>
    </row>
    <row r="117" spans="1:14" ht="15.75">
      <c r="A117" s="28"/>
      <c r="B117" s="29" t="s">
        <v>76</v>
      </c>
      <c r="C117" s="66">
        <v>337</v>
      </c>
      <c r="D117" s="29"/>
      <c r="E117" s="29"/>
      <c r="F117" s="29"/>
      <c r="G117" s="29"/>
      <c r="H117" s="29"/>
      <c r="I117" s="29"/>
      <c r="J117" s="29"/>
      <c r="K117" s="29"/>
      <c r="L117" s="85"/>
      <c r="M117" s="29"/>
      <c r="N117" s="6"/>
    </row>
    <row r="118" spans="1:14" ht="15.75">
      <c r="A118" s="7"/>
      <c r="B118" s="165" t="s">
        <v>77</v>
      </c>
      <c r="C118" s="15"/>
      <c r="D118" s="9"/>
      <c r="E118" s="9"/>
      <c r="F118" s="9"/>
      <c r="G118" s="9"/>
      <c r="H118" s="9"/>
      <c r="I118" s="9"/>
      <c r="J118" s="9"/>
      <c r="K118" s="9"/>
      <c r="L118" s="64"/>
      <c r="M118" s="9"/>
      <c r="N118" s="6"/>
    </row>
    <row r="119" spans="1:14" ht="15.75">
      <c r="A119" s="28"/>
      <c r="B119" s="29" t="s">
        <v>78</v>
      </c>
      <c r="C119" s="86"/>
      <c r="D119" s="29"/>
      <c r="E119" s="29"/>
      <c r="F119" s="29"/>
      <c r="G119" s="29"/>
      <c r="H119" s="29"/>
      <c r="I119" s="29"/>
      <c r="J119" s="29"/>
      <c r="K119" s="29"/>
      <c r="L119" s="67">
        <f>L67</f>
        <v>232370</v>
      </c>
      <c r="M119" s="29"/>
      <c r="N119" s="6"/>
    </row>
    <row r="120" spans="1:14" ht="15.75">
      <c r="A120" s="28"/>
      <c r="B120" s="29" t="s">
        <v>79</v>
      </c>
      <c r="C120" s="86"/>
      <c r="D120" s="29"/>
      <c r="E120" s="29"/>
      <c r="F120" s="29"/>
      <c r="G120" s="29"/>
      <c r="H120" s="29"/>
      <c r="I120" s="29"/>
      <c r="J120" s="29"/>
      <c r="K120" s="29"/>
      <c r="L120" s="67">
        <f>L70</f>
        <v>40242</v>
      </c>
      <c r="M120" s="29"/>
      <c r="N120" s="6"/>
    </row>
    <row r="121" spans="1:15" ht="15.75">
      <c r="A121" s="28"/>
      <c r="B121" s="29" t="s">
        <v>80</v>
      </c>
      <c r="C121" s="86"/>
      <c r="D121" s="29"/>
      <c r="E121" s="29"/>
      <c r="F121" s="29"/>
      <c r="G121" s="29"/>
      <c r="H121" s="29"/>
      <c r="I121" s="29"/>
      <c r="J121" s="29"/>
      <c r="K121" s="29"/>
      <c r="L121" s="67">
        <f>L120+L119+L72+L73</f>
        <v>272612</v>
      </c>
      <c r="M121" s="29"/>
      <c r="N121" s="6"/>
      <c r="O121" s="72"/>
    </row>
    <row r="122" spans="1:14" ht="15.75">
      <c r="A122" s="28"/>
      <c r="B122" s="29" t="s">
        <v>81</v>
      </c>
      <c r="C122" s="86"/>
      <c r="D122" s="29"/>
      <c r="E122" s="29"/>
      <c r="F122" s="29"/>
      <c r="G122" s="29"/>
      <c r="H122" s="29"/>
      <c r="I122" s="29"/>
      <c r="J122" s="29"/>
      <c r="K122" s="29"/>
      <c r="L122" s="67">
        <f>L74</f>
        <v>251000</v>
      </c>
      <c r="M122" s="29"/>
      <c r="N122" s="6"/>
    </row>
    <row r="123" spans="1:14" ht="15.75">
      <c r="A123" s="28"/>
      <c r="B123" s="29"/>
      <c r="C123" s="29"/>
      <c r="D123" s="29"/>
      <c r="E123" s="29"/>
      <c r="F123" s="29"/>
      <c r="G123" s="29"/>
      <c r="H123" s="29"/>
      <c r="I123" s="29"/>
      <c r="J123" s="29"/>
      <c r="K123" s="29"/>
      <c r="L123" s="85"/>
      <c r="M123" s="29"/>
      <c r="N123" s="6"/>
    </row>
    <row r="124" spans="1:14" ht="15.75">
      <c r="A124" s="7"/>
      <c r="B124" s="165" t="s">
        <v>82</v>
      </c>
      <c r="C124" s="158"/>
      <c r="D124" s="158"/>
      <c r="E124" s="158"/>
      <c r="F124" s="158"/>
      <c r="G124" s="158"/>
      <c r="H124" s="159" t="s">
        <v>176</v>
      </c>
      <c r="I124" s="166"/>
      <c r="J124" s="159" t="s">
        <v>179</v>
      </c>
      <c r="K124" s="158"/>
      <c r="L124" s="167" t="s">
        <v>131</v>
      </c>
      <c r="M124" s="177"/>
      <c r="N124" s="6"/>
    </row>
    <row r="125" spans="1:14" ht="15.75">
      <c r="A125" s="28"/>
      <c r="B125" s="29" t="s">
        <v>83</v>
      </c>
      <c r="C125" s="29"/>
      <c r="D125" s="29"/>
      <c r="E125" s="29"/>
      <c r="F125" s="29"/>
      <c r="G125" s="29"/>
      <c r="H125" s="67">
        <v>0</v>
      </c>
      <c r="I125" s="29"/>
      <c r="J125" s="89" t="s">
        <v>180</v>
      </c>
      <c r="K125" s="29"/>
      <c r="L125" s="67">
        <f>H125</f>
        <v>0</v>
      </c>
      <c r="M125" s="29"/>
      <c r="N125" s="6"/>
    </row>
    <row r="126" spans="1:14" ht="15.75">
      <c r="A126" s="28"/>
      <c r="B126" s="29" t="s">
        <v>84</v>
      </c>
      <c r="C126" s="29"/>
      <c r="D126" s="29"/>
      <c r="E126" s="29"/>
      <c r="F126" s="29"/>
      <c r="G126" s="29"/>
      <c r="H126" s="67">
        <v>0</v>
      </c>
      <c r="I126" s="29"/>
      <c r="J126" s="89" t="s">
        <v>180</v>
      </c>
      <c r="K126" s="29"/>
      <c r="L126" s="67">
        <f>H126</f>
        <v>0</v>
      </c>
      <c r="M126" s="29"/>
      <c r="N126" s="6"/>
    </row>
    <row r="127" spans="1:14" ht="15.75">
      <c r="A127" s="28"/>
      <c r="B127" s="29" t="s">
        <v>85</v>
      </c>
      <c r="C127" s="29"/>
      <c r="D127" s="29"/>
      <c r="E127" s="29"/>
      <c r="F127" s="29"/>
      <c r="G127" s="29"/>
      <c r="H127" s="67">
        <v>0</v>
      </c>
      <c r="I127" s="29"/>
      <c r="J127" s="89" t="s">
        <v>180</v>
      </c>
      <c r="K127" s="29"/>
      <c r="L127" s="67">
        <f>H127</f>
        <v>0</v>
      </c>
      <c r="M127" s="29"/>
      <c r="N127" s="6"/>
    </row>
    <row r="128" spans="1:14" ht="15.75">
      <c r="A128" s="28"/>
      <c r="B128" s="29" t="s">
        <v>86</v>
      </c>
      <c r="C128" s="29"/>
      <c r="D128" s="29"/>
      <c r="E128" s="29"/>
      <c r="F128" s="29"/>
      <c r="G128" s="29"/>
      <c r="H128" s="67">
        <f>SUM(H126:H127)</f>
        <v>0</v>
      </c>
      <c r="I128" s="29"/>
      <c r="J128" s="89" t="s">
        <v>180</v>
      </c>
      <c r="K128" s="29"/>
      <c r="L128" s="67">
        <f>H128</f>
        <v>0</v>
      </c>
      <c r="M128" s="29"/>
      <c r="N128" s="6"/>
    </row>
    <row r="129" spans="1:14" ht="15.75">
      <c r="A129" s="28"/>
      <c r="B129" s="29" t="s">
        <v>87</v>
      </c>
      <c r="C129" s="29"/>
      <c r="D129" s="29"/>
      <c r="E129" s="29"/>
      <c r="F129" s="29"/>
      <c r="G129" s="29"/>
      <c r="H129" s="67">
        <f>H125-H128</f>
        <v>0</v>
      </c>
      <c r="I129" s="29"/>
      <c r="J129" s="89" t="s">
        <v>180</v>
      </c>
      <c r="K129" s="29"/>
      <c r="L129" s="67">
        <f>H129</f>
        <v>0</v>
      </c>
      <c r="M129" s="29"/>
      <c r="N129" s="6"/>
    </row>
    <row r="130" spans="1:14" ht="15.75">
      <c r="A130" s="28"/>
      <c r="B130" s="29"/>
      <c r="C130" s="29"/>
      <c r="D130" s="29"/>
      <c r="E130" s="29"/>
      <c r="F130" s="29"/>
      <c r="G130" s="29"/>
      <c r="H130" s="29"/>
      <c r="I130" s="29"/>
      <c r="J130" s="29"/>
      <c r="K130" s="29"/>
      <c r="L130" s="29"/>
      <c r="M130" s="29"/>
      <c r="N130" s="6"/>
    </row>
    <row r="131" spans="1:14" ht="15.75">
      <c r="A131" s="28"/>
      <c r="B131" s="32"/>
      <c r="C131" s="32"/>
      <c r="D131" s="32"/>
      <c r="E131" s="32"/>
      <c r="F131" s="32"/>
      <c r="G131" s="32"/>
      <c r="H131" s="32"/>
      <c r="I131" s="32"/>
      <c r="J131" s="32"/>
      <c r="K131" s="32"/>
      <c r="L131" s="32"/>
      <c r="M131" s="32"/>
      <c r="N131" s="6"/>
    </row>
    <row r="132" spans="1:14" ht="15.75">
      <c r="A132" s="90"/>
      <c r="B132" s="63" t="s">
        <v>88</v>
      </c>
      <c r="C132" s="91"/>
      <c r="D132" s="91"/>
      <c r="E132" s="91"/>
      <c r="F132" s="91"/>
      <c r="G132" s="21"/>
      <c r="H132" s="21"/>
      <c r="I132" s="21"/>
      <c r="J132" s="21">
        <v>37407</v>
      </c>
      <c r="K132" s="17"/>
      <c r="L132" s="17"/>
      <c r="M132" s="9"/>
      <c r="N132" s="6"/>
    </row>
    <row r="133" spans="1:14" ht="15.75">
      <c r="A133" s="92"/>
      <c r="B133" s="93" t="s">
        <v>89</v>
      </c>
      <c r="C133" s="94"/>
      <c r="D133" s="94"/>
      <c r="E133" s="94"/>
      <c r="F133" s="94"/>
      <c r="G133" s="95"/>
      <c r="H133" s="95"/>
      <c r="I133" s="95"/>
      <c r="J133" s="96">
        <v>0.1226</v>
      </c>
      <c r="K133" s="29"/>
      <c r="L133" s="29"/>
      <c r="M133" s="29"/>
      <c r="N133" s="6"/>
    </row>
    <row r="134" spans="1:14" ht="15.75">
      <c r="A134" s="92"/>
      <c r="B134" s="93" t="s">
        <v>90</v>
      </c>
      <c r="C134" s="94"/>
      <c r="D134" s="94"/>
      <c r="E134" s="94"/>
      <c r="F134" s="94"/>
      <c r="G134" s="95"/>
      <c r="H134" s="95"/>
      <c r="I134" s="95"/>
      <c r="J134" s="96">
        <v>0.0582</v>
      </c>
      <c r="K134" s="96"/>
      <c r="L134" s="29"/>
      <c r="M134" s="29"/>
      <c r="N134" s="6"/>
    </row>
    <row r="135" spans="1:14" ht="15.75">
      <c r="A135" s="92"/>
      <c r="B135" s="93" t="s">
        <v>91</v>
      </c>
      <c r="C135" s="94"/>
      <c r="D135" s="94"/>
      <c r="E135" s="94"/>
      <c r="F135" s="94"/>
      <c r="G135" s="95"/>
      <c r="H135" s="95"/>
      <c r="I135" s="95"/>
      <c r="J135" s="96">
        <f>J133-J134</f>
        <v>0.0644</v>
      </c>
      <c r="K135" s="29"/>
      <c r="L135" s="29"/>
      <c r="M135" s="29"/>
      <c r="N135" s="6"/>
    </row>
    <row r="136" spans="1:14" ht="15.75">
      <c r="A136" s="92"/>
      <c r="B136" s="93" t="s">
        <v>92</v>
      </c>
      <c r="C136" s="94"/>
      <c r="D136" s="94"/>
      <c r="E136" s="94"/>
      <c r="F136" s="94"/>
      <c r="G136" s="95"/>
      <c r="H136" s="95"/>
      <c r="I136" s="95"/>
      <c r="J136" s="96">
        <v>0.1242</v>
      </c>
      <c r="K136" s="29"/>
      <c r="L136" s="29"/>
      <c r="M136" s="29"/>
      <c r="N136" s="6"/>
    </row>
    <row r="137" spans="1:14" ht="15.75">
      <c r="A137" s="92"/>
      <c r="B137" s="93" t="s">
        <v>93</v>
      </c>
      <c r="C137" s="94"/>
      <c r="D137" s="94"/>
      <c r="E137" s="94"/>
      <c r="F137" s="94"/>
      <c r="G137" s="95"/>
      <c r="H137" s="95"/>
      <c r="I137" s="95"/>
      <c r="J137" s="96">
        <f>L32</f>
        <v>0.046826778884462156</v>
      </c>
      <c r="K137" s="29"/>
      <c r="L137" s="29"/>
      <c r="M137" s="29"/>
      <c r="N137" s="6"/>
    </row>
    <row r="138" spans="1:14" ht="15.75">
      <c r="A138" s="92"/>
      <c r="B138" s="93" t="s">
        <v>94</v>
      </c>
      <c r="C138" s="94"/>
      <c r="D138" s="94"/>
      <c r="E138" s="94"/>
      <c r="F138" s="94"/>
      <c r="G138" s="95"/>
      <c r="H138" s="95"/>
      <c r="I138" s="95"/>
      <c r="J138" s="96">
        <f>J136-J137</f>
        <v>0.07737322111553785</v>
      </c>
      <c r="K138" s="29"/>
      <c r="L138" s="29"/>
      <c r="M138" s="29"/>
      <c r="N138" s="6"/>
    </row>
    <row r="139" spans="1:14" ht="15.75">
      <c r="A139" s="92"/>
      <c r="B139" s="93" t="s">
        <v>95</v>
      </c>
      <c r="C139" s="94"/>
      <c r="D139" s="94"/>
      <c r="E139" s="94"/>
      <c r="F139" s="94"/>
      <c r="G139" s="95"/>
      <c r="H139" s="95"/>
      <c r="I139" s="95"/>
      <c r="J139" s="96" t="s">
        <v>181</v>
      </c>
      <c r="K139" s="29"/>
      <c r="L139" s="29"/>
      <c r="M139" s="29"/>
      <c r="N139" s="6"/>
    </row>
    <row r="140" spans="1:14" ht="15.75">
      <c r="A140" s="92"/>
      <c r="B140" s="93" t="s">
        <v>96</v>
      </c>
      <c r="C140" s="94"/>
      <c r="D140" s="94"/>
      <c r="E140" s="94"/>
      <c r="F140" s="94"/>
      <c r="G140" s="95"/>
      <c r="H140" s="95"/>
      <c r="I140" s="95"/>
      <c r="J140" s="96" t="s">
        <v>182</v>
      </c>
      <c r="K140" s="29"/>
      <c r="L140" s="29"/>
      <c r="M140" s="29"/>
      <c r="N140" s="6"/>
    </row>
    <row r="141" spans="1:14" ht="15.75">
      <c r="A141" s="92"/>
      <c r="B141" s="93" t="s">
        <v>97</v>
      </c>
      <c r="C141" s="94"/>
      <c r="D141" s="94"/>
      <c r="E141" s="94"/>
      <c r="F141" s="94"/>
      <c r="G141" s="95"/>
      <c r="H141" s="95"/>
      <c r="I141" s="95"/>
      <c r="J141" s="96" t="s">
        <v>183</v>
      </c>
      <c r="K141" s="29"/>
      <c r="L141" s="29"/>
      <c r="M141" s="29"/>
      <c r="N141" s="6"/>
    </row>
    <row r="142" spans="1:14" ht="15.75">
      <c r="A142" s="92"/>
      <c r="B142" s="93" t="s">
        <v>98</v>
      </c>
      <c r="C142" s="94"/>
      <c r="D142" s="94"/>
      <c r="E142" s="94"/>
      <c r="F142" s="94"/>
      <c r="G142" s="95"/>
      <c r="H142" s="95"/>
      <c r="I142" s="95"/>
      <c r="J142" s="97">
        <v>4.08</v>
      </c>
      <c r="K142" s="29"/>
      <c r="L142" s="29"/>
      <c r="M142" s="29"/>
      <c r="N142" s="6"/>
    </row>
    <row r="143" spans="1:14" ht="15.75">
      <c r="A143" s="92"/>
      <c r="B143" s="93" t="s">
        <v>99</v>
      </c>
      <c r="C143" s="94"/>
      <c r="D143" s="94"/>
      <c r="E143" s="94"/>
      <c r="F143" s="94"/>
      <c r="G143" s="95"/>
      <c r="H143" s="95"/>
      <c r="I143" s="95"/>
      <c r="J143" s="97">
        <v>5.65</v>
      </c>
      <c r="K143" s="29"/>
      <c r="L143" s="29"/>
      <c r="M143" s="29"/>
      <c r="N143" s="6"/>
    </row>
    <row r="144" spans="1:14" ht="15.75">
      <c r="A144" s="92"/>
      <c r="B144" s="93" t="s">
        <v>100</v>
      </c>
      <c r="C144" s="94"/>
      <c r="D144" s="94"/>
      <c r="E144" s="94"/>
      <c r="F144" s="94"/>
      <c r="G144" s="95"/>
      <c r="H144" s="95"/>
      <c r="I144" s="95"/>
      <c r="J144" s="96">
        <v>0.1452</v>
      </c>
      <c r="K144" s="29"/>
      <c r="L144" s="29"/>
      <c r="M144" s="29"/>
      <c r="N144" s="6"/>
    </row>
    <row r="145" spans="1:14" ht="15.75">
      <c r="A145" s="92"/>
      <c r="B145" s="93" t="s">
        <v>101</v>
      </c>
      <c r="C145" s="94"/>
      <c r="D145" s="94"/>
      <c r="E145" s="94"/>
      <c r="F145" s="94"/>
      <c r="G145" s="95"/>
      <c r="H145" s="95"/>
      <c r="I145" s="95"/>
      <c r="J145" s="96">
        <v>0.4432</v>
      </c>
      <c r="K145" s="29"/>
      <c r="L145" s="29"/>
      <c r="M145" s="29"/>
      <c r="N145" s="6"/>
    </row>
    <row r="146" spans="1:14" ht="15.75">
      <c r="A146" s="92"/>
      <c r="B146" s="93"/>
      <c r="C146" s="93"/>
      <c r="D146" s="93"/>
      <c r="E146" s="93"/>
      <c r="F146" s="93"/>
      <c r="G146" s="29"/>
      <c r="H146" s="29"/>
      <c r="I146" s="36"/>
      <c r="J146" s="98"/>
      <c r="K146" s="29"/>
      <c r="L146" s="99"/>
      <c r="M146" s="29"/>
      <c r="N146" s="6"/>
    </row>
    <row r="147" spans="1:14" ht="15.75">
      <c r="A147" s="90"/>
      <c r="B147" s="100"/>
      <c r="C147" s="100"/>
      <c r="D147" s="100"/>
      <c r="E147" s="100"/>
      <c r="F147" s="100"/>
      <c r="G147" s="9"/>
      <c r="H147" s="9"/>
      <c r="I147" s="22"/>
      <c r="J147" s="101"/>
      <c r="K147" s="9"/>
      <c r="L147" s="102"/>
      <c r="M147" s="9"/>
      <c r="N147" s="6"/>
    </row>
    <row r="148" spans="1:14" ht="16.5" thickBot="1">
      <c r="A148" s="150"/>
      <c r="B148" s="145" t="str">
        <f>B97</f>
        <v>PPAF1 INVESTOR REPORT QUARTER ENDING MAY 2002</v>
      </c>
      <c r="C148" s="151"/>
      <c r="D148" s="151"/>
      <c r="E148" s="151"/>
      <c r="F148" s="151"/>
      <c r="G148" s="146"/>
      <c r="H148" s="146"/>
      <c r="I148" s="152"/>
      <c r="J148" s="153"/>
      <c r="K148" s="146"/>
      <c r="L148" s="154"/>
      <c r="M148" s="148"/>
      <c r="N148" s="6"/>
    </row>
    <row r="149" spans="1:14" ht="15.75">
      <c r="A149" s="103"/>
      <c r="B149" s="104"/>
      <c r="C149" s="105"/>
      <c r="D149" s="106"/>
      <c r="E149" s="105"/>
      <c r="F149" s="106"/>
      <c r="G149" s="105"/>
      <c r="H149" s="106"/>
      <c r="I149" s="105"/>
      <c r="J149" s="106"/>
      <c r="K149" s="107"/>
      <c r="L149" s="107"/>
      <c r="M149" s="5"/>
      <c r="N149" s="6"/>
    </row>
    <row r="150" spans="1:14" ht="15.75">
      <c r="A150" s="108"/>
      <c r="B150" s="93" t="s">
        <v>103</v>
      </c>
      <c r="C150" s="68"/>
      <c r="D150" s="68"/>
      <c r="E150" s="68"/>
      <c r="F150" s="29"/>
      <c r="G150" s="29"/>
      <c r="H150" s="29"/>
      <c r="I150" s="29">
        <v>401</v>
      </c>
      <c r="J150" s="67">
        <v>2648</v>
      </c>
      <c r="K150" s="67"/>
      <c r="L150" s="99"/>
      <c r="M150" s="109"/>
      <c r="N150" s="6"/>
    </row>
    <row r="151" spans="1:14" ht="15.75">
      <c r="A151" s="108"/>
      <c r="B151" s="93" t="s">
        <v>104</v>
      </c>
      <c r="C151" s="68"/>
      <c r="D151" s="68"/>
      <c r="E151" s="68"/>
      <c r="F151" s="29"/>
      <c r="G151" s="29"/>
      <c r="H151" s="29"/>
      <c r="I151" s="29">
        <v>8</v>
      </c>
      <c r="J151" s="67">
        <v>58</v>
      </c>
      <c r="K151" s="67"/>
      <c r="L151" s="99"/>
      <c r="M151" s="109"/>
      <c r="N151" s="6"/>
    </row>
    <row r="152" spans="1:14" ht="15.75">
      <c r="A152" s="108"/>
      <c r="B152" s="168" t="s">
        <v>105</v>
      </c>
      <c r="C152" s="68"/>
      <c r="D152" s="68"/>
      <c r="E152" s="68"/>
      <c r="F152" s="29"/>
      <c r="G152" s="29"/>
      <c r="H152" s="29"/>
      <c r="I152" s="29"/>
      <c r="J152" s="110">
        <v>0</v>
      </c>
      <c r="K152" s="29"/>
      <c r="L152" s="99"/>
      <c r="M152" s="109"/>
      <c r="N152" s="6"/>
    </row>
    <row r="153" spans="1:14" ht="15.75">
      <c r="A153" s="108"/>
      <c r="B153" s="168" t="s">
        <v>106</v>
      </c>
      <c r="C153" s="68"/>
      <c r="D153" s="68"/>
      <c r="E153" s="68"/>
      <c r="F153" s="29"/>
      <c r="G153" s="29"/>
      <c r="H153" s="29"/>
      <c r="I153" s="29"/>
      <c r="J153" s="67">
        <f>H67</f>
        <v>34375</v>
      </c>
      <c r="K153" s="29"/>
      <c r="L153" s="99"/>
      <c r="M153" s="109"/>
      <c r="N153" s="6"/>
    </row>
    <row r="154" spans="1:14" ht="15.75">
      <c r="A154" s="111"/>
      <c r="B154" s="168" t="s">
        <v>107</v>
      </c>
      <c r="C154" s="68"/>
      <c r="D154" s="93"/>
      <c r="E154" s="93"/>
      <c r="F154" s="93"/>
      <c r="G154" s="29"/>
      <c r="H154" s="29"/>
      <c r="I154" s="29"/>
      <c r="J154" s="112"/>
      <c r="K154" s="29"/>
      <c r="L154" s="99"/>
      <c r="M154" s="113"/>
      <c r="N154" s="6"/>
    </row>
    <row r="155" spans="1:14" ht="15.75">
      <c r="A155" s="108"/>
      <c r="B155" s="93" t="s">
        <v>108</v>
      </c>
      <c r="C155" s="68"/>
      <c r="D155" s="68"/>
      <c r="E155" s="68"/>
      <c r="F155" s="68"/>
      <c r="G155" s="29"/>
      <c r="H155" s="29"/>
      <c r="I155" s="29"/>
      <c r="J155" s="67">
        <f>L116</f>
        <v>2425</v>
      </c>
      <c r="K155" s="29"/>
      <c r="L155" s="99"/>
      <c r="M155" s="113"/>
      <c r="N155" s="6"/>
    </row>
    <row r="156" spans="1:14" ht="15.75">
      <c r="A156" s="108"/>
      <c r="B156" s="93" t="s">
        <v>109</v>
      </c>
      <c r="C156" s="68"/>
      <c r="D156" s="68"/>
      <c r="E156" s="68"/>
      <c r="F156" s="68"/>
      <c r="G156" s="29"/>
      <c r="H156" s="29"/>
      <c r="I156" s="29"/>
      <c r="J156" s="67">
        <f>L116+'Feb 02'!J156</f>
        <v>10352</v>
      </c>
      <c r="K156" s="29"/>
      <c r="L156" s="99"/>
      <c r="M156" s="113"/>
      <c r="N156" s="6"/>
    </row>
    <row r="157" spans="1:14" ht="15.75">
      <c r="A157" s="108"/>
      <c r="B157" s="93" t="s">
        <v>110</v>
      </c>
      <c r="C157" s="68"/>
      <c r="D157" s="68"/>
      <c r="E157" s="68"/>
      <c r="F157" s="68"/>
      <c r="G157" s="29"/>
      <c r="H157" s="29"/>
      <c r="I157" s="29"/>
      <c r="J157" s="67"/>
      <c r="K157" s="29"/>
      <c r="L157" s="99"/>
      <c r="M157" s="113"/>
      <c r="N157" s="6"/>
    </row>
    <row r="158" spans="1:14" ht="15.75">
      <c r="A158" s="108"/>
      <c r="B158" s="93"/>
      <c r="C158" s="68"/>
      <c r="D158" s="68"/>
      <c r="E158" s="68"/>
      <c r="F158" s="68"/>
      <c r="G158" s="29"/>
      <c r="H158" s="29"/>
      <c r="I158" s="29"/>
      <c r="J158" s="67"/>
      <c r="K158" s="29"/>
      <c r="L158" s="99"/>
      <c r="M158" s="113"/>
      <c r="N158" s="6"/>
    </row>
    <row r="159" spans="1:14" ht="15.75">
      <c r="A159" s="111"/>
      <c r="B159" s="168" t="s">
        <v>111</v>
      </c>
      <c r="C159" s="68"/>
      <c r="D159" s="93"/>
      <c r="E159" s="93"/>
      <c r="F159" s="93"/>
      <c r="G159" s="29"/>
      <c r="H159" s="29"/>
      <c r="I159" s="29"/>
      <c r="J159" s="89"/>
      <c r="K159" s="29"/>
      <c r="L159" s="99"/>
      <c r="M159" s="113"/>
      <c r="N159" s="6"/>
    </row>
    <row r="160" spans="1:14" ht="15.75">
      <c r="A160" s="111"/>
      <c r="B160" s="93" t="s">
        <v>112</v>
      </c>
      <c r="C160" s="68"/>
      <c r="D160" s="93"/>
      <c r="E160" s="93"/>
      <c r="F160" s="93"/>
      <c r="G160" s="29"/>
      <c r="H160" s="29"/>
      <c r="I160" s="29"/>
      <c r="J160" s="89">
        <v>0</v>
      </c>
      <c r="K160" s="29"/>
      <c r="L160" s="99"/>
      <c r="M160" s="113"/>
      <c r="N160" s="6"/>
    </row>
    <row r="161" spans="1:14" ht="15.75">
      <c r="A161" s="108"/>
      <c r="B161" s="93" t="s">
        <v>113</v>
      </c>
      <c r="C161" s="68"/>
      <c r="D161" s="114"/>
      <c r="E161" s="114"/>
      <c r="F161" s="115"/>
      <c r="G161" s="29"/>
      <c r="H161" s="29"/>
      <c r="I161" s="29"/>
      <c r="J161" s="89">
        <v>0</v>
      </c>
      <c r="K161" s="29"/>
      <c r="L161" s="99"/>
      <c r="M161" s="113"/>
      <c r="N161" s="6"/>
    </row>
    <row r="162" spans="1:14" ht="15.75">
      <c r="A162" s="108"/>
      <c r="B162" s="93" t="s">
        <v>114</v>
      </c>
      <c r="C162" s="68"/>
      <c r="D162" s="114"/>
      <c r="E162" s="114"/>
      <c r="F162" s="115"/>
      <c r="G162" s="29"/>
      <c r="H162" s="29"/>
      <c r="I162" s="29"/>
      <c r="J162" s="89">
        <v>0</v>
      </c>
      <c r="K162" s="29"/>
      <c r="L162" s="99"/>
      <c r="M162" s="113"/>
      <c r="N162" s="6"/>
    </row>
    <row r="163" spans="1:14" ht="15.75">
      <c r="A163" s="108"/>
      <c r="B163" s="93" t="s">
        <v>115</v>
      </c>
      <c r="C163" s="68"/>
      <c r="D163" s="116"/>
      <c r="E163" s="114"/>
      <c r="F163" s="115"/>
      <c r="G163" s="29"/>
      <c r="H163" s="29"/>
      <c r="I163" s="29"/>
      <c r="J163" s="89">
        <v>0</v>
      </c>
      <c r="K163" s="29"/>
      <c r="L163" s="99"/>
      <c r="M163" s="113"/>
      <c r="N163" s="6"/>
    </row>
    <row r="164" spans="1:14" ht="15.75">
      <c r="A164" s="108"/>
      <c r="B164" s="93"/>
      <c r="C164" s="68"/>
      <c r="D164" s="116"/>
      <c r="E164" s="114"/>
      <c r="F164" s="115"/>
      <c r="G164" s="29"/>
      <c r="H164" s="29"/>
      <c r="I164" s="29"/>
      <c r="J164" s="89"/>
      <c r="K164" s="29"/>
      <c r="L164" s="99"/>
      <c r="M164" s="113"/>
      <c r="N164" s="6"/>
    </row>
    <row r="165" spans="1:14" ht="15.75">
      <c r="A165" s="108"/>
      <c r="B165" s="168" t="s">
        <v>116</v>
      </c>
      <c r="C165" s="68"/>
      <c r="D165" s="68"/>
      <c r="E165" s="116"/>
      <c r="F165" s="114"/>
      <c r="G165" s="115"/>
      <c r="H165" s="29"/>
      <c r="I165" s="36"/>
      <c r="J165" s="36"/>
      <c r="K165" s="117"/>
      <c r="L165" s="36"/>
      <c r="M165" s="99"/>
      <c r="N165" s="6"/>
    </row>
    <row r="166" spans="1:14" ht="15.75">
      <c r="A166" s="108"/>
      <c r="B166" s="93" t="s">
        <v>117</v>
      </c>
      <c r="C166" s="68"/>
      <c r="D166" s="68"/>
      <c r="E166" s="116"/>
      <c r="F166" s="114"/>
      <c r="G166" s="115"/>
      <c r="H166" s="29"/>
      <c r="I166" s="36"/>
      <c r="J166" s="118">
        <v>17</v>
      </c>
      <c r="K166" s="118"/>
      <c r="L166" s="36"/>
      <c r="M166" s="99"/>
      <c r="N166" s="6"/>
    </row>
    <row r="167" spans="1:14" ht="15.75">
      <c r="A167" s="108"/>
      <c r="B167" s="93" t="s">
        <v>113</v>
      </c>
      <c r="C167" s="68"/>
      <c r="D167" s="68"/>
      <c r="E167" s="116"/>
      <c r="F167" s="114"/>
      <c r="G167" s="115"/>
      <c r="H167" s="29"/>
      <c r="I167" s="36"/>
      <c r="J167" s="118">
        <v>4.5</v>
      </c>
      <c r="K167" s="118"/>
      <c r="L167" s="36"/>
      <c r="M167" s="99"/>
      <c r="N167" s="6"/>
    </row>
    <row r="168" spans="1:14" ht="15.75">
      <c r="A168" s="108"/>
      <c r="B168" s="93" t="s">
        <v>118</v>
      </c>
      <c r="C168" s="68"/>
      <c r="D168" s="68"/>
      <c r="E168" s="116"/>
      <c r="F168" s="114"/>
      <c r="G168" s="115"/>
      <c r="H168" s="29"/>
      <c r="I168" s="36"/>
      <c r="J168" s="118">
        <v>59</v>
      </c>
      <c r="K168" s="118"/>
      <c r="L168" s="36"/>
      <c r="M168" s="99"/>
      <c r="N168" s="6"/>
    </row>
    <row r="169" spans="1:14" ht="15.75">
      <c r="A169" s="108"/>
      <c r="B169" s="93"/>
      <c r="C169" s="68"/>
      <c r="D169" s="116"/>
      <c r="E169" s="114"/>
      <c r="F169" s="115"/>
      <c r="G169" s="29"/>
      <c r="H169" s="29"/>
      <c r="I169" s="29"/>
      <c r="J169" s="89"/>
      <c r="K169" s="29"/>
      <c r="L169" s="99"/>
      <c r="M169" s="113"/>
      <c r="N169" s="6"/>
    </row>
    <row r="170" spans="1:14" ht="15.75">
      <c r="A170" s="28"/>
      <c r="B170" s="119" t="s">
        <v>119</v>
      </c>
      <c r="C170" s="120"/>
      <c r="D170" s="121"/>
      <c r="E170" s="120"/>
      <c r="F170" s="121"/>
      <c r="G170" s="120"/>
      <c r="H170" s="121"/>
      <c r="I170" s="120"/>
      <c r="J170" s="121"/>
      <c r="K170" s="120"/>
      <c r="L170" s="122"/>
      <c r="M170" s="113"/>
      <c r="N170" s="6"/>
    </row>
    <row r="171" spans="1:14" ht="15.75">
      <c r="A171" s="28"/>
      <c r="B171" s="33"/>
      <c r="C171" s="84"/>
      <c r="D171" s="119" t="s">
        <v>151</v>
      </c>
      <c r="E171" s="120"/>
      <c r="F171" s="121"/>
      <c r="G171" s="120"/>
      <c r="H171" s="119" t="s">
        <v>39</v>
      </c>
      <c r="I171" s="120"/>
      <c r="J171" s="121"/>
      <c r="K171" s="120"/>
      <c r="L171" s="122"/>
      <c r="M171" s="113"/>
      <c r="N171" s="6"/>
    </row>
    <row r="172" spans="1:14" ht="15.75">
      <c r="A172" s="28"/>
      <c r="B172" s="84"/>
      <c r="C172" s="121" t="s">
        <v>141</v>
      </c>
      <c r="D172" s="120" t="s">
        <v>152</v>
      </c>
      <c r="E172" s="121" t="s">
        <v>157</v>
      </c>
      <c r="F172" s="120" t="s">
        <v>152</v>
      </c>
      <c r="G172" s="120"/>
      <c r="H172" s="121" t="s">
        <v>141</v>
      </c>
      <c r="I172" s="120" t="s">
        <v>152</v>
      </c>
      <c r="J172" s="121" t="s">
        <v>157</v>
      </c>
      <c r="K172" s="120" t="s">
        <v>152</v>
      </c>
      <c r="L172" s="122"/>
      <c r="M172" s="113"/>
      <c r="N172" s="6"/>
    </row>
    <row r="173" spans="1:14" ht="15.75">
      <c r="A173" s="28"/>
      <c r="B173" s="68" t="s">
        <v>120</v>
      </c>
      <c r="C173" s="123">
        <f>7374+2272</f>
        <v>9646</v>
      </c>
      <c r="D173" s="96">
        <f>C173/C177</f>
        <v>0.834212574591369</v>
      </c>
      <c r="E173" s="123">
        <f>34299+18904</f>
        <v>53203</v>
      </c>
      <c r="F173" s="96">
        <f>E173/E177</f>
        <v>0.8496438723689674</v>
      </c>
      <c r="G173" s="120"/>
      <c r="H173" s="123">
        <f>24723+20266</f>
        <v>44989</v>
      </c>
      <c r="I173" s="96">
        <f>H173/H177</f>
        <v>0.931950946679372</v>
      </c>
      <c r="J173" s="123">
        <f>20944+11538</f>
        <v>32482</v>
      </c>
      <c r="K173" s="96">
        <f>J173/J177</f>
        <v>0.9197270436333776</v>
      </c>
      <c r="L173" s="122"/>
      <c r="M173" s="113"/>
      <c r="N173" s="6"/>
    </row>
    <row r="174" spans="1:14" ht="15.75">
      <c r="A174" s="28"/>
      <c r="B174" s="68" t="s">
        <v>121</v>
      </c>
      <c r="C174" s="123">
        <f>169+16</f>
        <v>185</v>
      </c>
      <c r="D174" s="96">
        <f>C174/$C$177</f>
        <v>0.015999308138026462</v>
      </c>
      <c r="E174" s="123">
        <f>681+172</f>
        <v>853</v>
      </c>
      <c r="F174" s="96">
        <f>E174/$E$177</f>
        <v>0.01362228113322048</v>
      </c>
      <c r="G174" s="120"/>
      <c r="H174" s="123">
        <f>200+323</f>
        <v>523</v>
      </c>
      <c r="I174" s="96">
        <f>H174/$H$177</f>
        <v>0.010833989311016283</v>
      </c>
      <c r="J174" s="123">
        <f>226+164</f>
        <v>390</v>
      </c>
      <c r="K174" s="96">
        <f>J174/$J$177</f>
        <v>0.011042840558371323</v>
      </c>
      <c r="L174" s="122"/>
      <c r="M174" s="113"/>
      <c r="N174" s="6"/>
    </row>
    <row r="175" spans="1:14" ht="15.75">
      <c r="A175" s="28"/>
      <c r="B175" s="68" t="s">
        <v>122</v>
      </c>
      <c r="C175" s="123">
        <f>148+7</f>
        <v>155</v>
      </c>
      <c r="D175" s="96">
        <f>C175/$C$177</f>
        <v>0.013404825737265416</v>
      </c>
      <c r="E175" s="123">
        <f>740+53</f>
        <v>793</v>
      </c>
      <c r="F175" s="96">
        <f>E175/$E$177</f>
        <v>0.012664090197706729</v>
      </c>
      <c r="G175" s="120"/>
      <c r="H175" s="123">
        <f>143+233</f>
        <v>376</v>
      </c>
      <c r="I175" s="96">
        <f>H175/$H$177</f>
        <v>0.007788871856485893</v>
      </c>
      <c r="J175" s="123">
        <f>169+136</f>
        <v>305</v>
      </c>
      <c r="K175" s="96">
        <f>J175/$J$177</f>
        <v>0.008636067616162188</v>
      </c>
      <c r="L175" s="122"/>
      <c r="M175" s="113"/>
      <c r="N175" s="6"/>
    </row>
    <row r="176" spans="1:14" ht="15.75">
      <c r="A176" s="28"/>
      <c r="B176" s="68" t="s">
        <v>123</v>
      </c>
      <c r="C176" s="123">
        <f>120+107+134+415+771+6+3+3+18</f>
        <v>1577</v>
      </c>
      <c r="D176" s="96">
        <f>C176/$C$177</f>
        <v>0.1363832915333391</v>
      </c>
      <c r="E176" s="123">
        <f>61075+19209-17666-E175-E174-E173</f>
        <v>7769</v>
      </c>
      <c r="F176" s="96">
        <f>E176/$E$177</f>
        <v>0.1240697563001054</v>
      </c>
      <c r="G176" s="120"/>
      <c r="H176" s="123">
        <f>101+72+109+149+85+202+211+231+550+676</f>
        <v>2386</v>
      </c>
      <c r="I176" s="96">
        <f>H176/$H$177</f>
        <v>0.04942619215312591</v>
      </c>
      <c r="J176" s="123">
        <f>15351+22034-2068-J175-J174-J173</f>
        <v>2140</v>
      </c>
      <c r="K176" s="96">
        <f>J176/$J$177</f>
        <v>0.060594048192088794</v>
      </c>
      <c r="L176" s="122"/>
      <c r="M176" s="113"/>
      <c r="N176" s="6"/>
    </row>
    <row r="177" spans="1:14" ht="15.75">
      <c r="A177" s="28"/>
      <c r="B177" s="68" t="s">
        <v>124</v>
      </c>
      <c r="C177" s="123">
        <f>SUM(C173:C176)</f>
        <v>11563</v>
      </c>
      <c r="D177" s="96">
        <f>SUM(D173:D176)</f>
        <v>1</v>
      </c>
      <c r="E177" s="123">
        <f>SUM(E173:E176)</f>
        <v>62618</v>
      </c>
      <c r="F177" s="96">
        <f>SUM(F173:F176)</f>
        <v>1</v>
      </c>
      <c r="G177" s="120"/>
      <c r="H177" s="123">
        <f>SUM(H173:H176)</f>
        <v>48274</v>
      </c>
      <c r="I177" s="96">
        <f>SUM(I173:I176)</f>
        <v>1</v>
      </c>
      <c r="J177" s="123">
        <f>SUM(J173:J176)</f>
        <v>35317</v>
      </c>
      <c r="K177" s="96">
        <f>SUM(K173:K176)</f>
        <v>1</v>
      </c>
      <c r="L177" s="122"/>
      <c r="M177" s="113"/>
      <c r="N177" s="6"/>
    </row>
    <row r="178" spans="1:14" ht="15.75">
      <c r="A178" s="28"/>
      <c r="B178" s="68" t="s">
        <v>125</v>
      </c>
      <c r="C178" s="123">
        <v>2645</v>
      </c>
      <c r="D178" s="124"/>
      <c r="E178" s="123">
        <v>17666</v>
      </c>
      <c r="F178" s="124"/>
      <c r="G178" s="120"/>
      <c r="H178" s="123">
        <f>35+1530</f>
        <v>1565</v>
      </c>
      <c r="I178" s="124"/>
      <c r="J178" s="123">
        <f>52+2016</f>
        <v>2068</v>
      </c>
      <c r="K178" s="124"/>
      <c r="L178" s="122"/>
      <c r="M178" s="113"/>
      <c r="N178" s="6"/>
    </row>
    <row r="179" spans="1:14" ht="15.75">
      <c r="A179" s="28"/>
      <c r="B179" s="68" t="s">
        <v>126</v>
      </c>
      <c r="C179" s="123">
        <f>SUM(C177:C178)</f>
        <v>14208</v>
      </c>
      <c r="D179" s="84"/>
      <c r="E179" s="123">
        <f>E178+E177</f>
        <v>80284</v>
      </c>
      <c r="F179" s="96"/>
      <c r="G179" s="84"/>
      <c r="H179" s="123">
        <f>SUM(H177:H178)</f>
        <v>49839</v>
      </c>
      <c r="I179" s="84"/>
      <c r="J179" s="123">
        <f>J178+J177</f>
        <v>37385</v>
      </c>
      <c r="K179" s="84"/>
      <c r="L179" s="84"/>
      <c r="M179" s="113"/>
      <c r="N179" s="6"/>
    </row>
    <row r="180" spans="1:14" ht="15.75">
      <c r="A180" s="28"/>
      <c r="B180" s="68"/>
      <c r="C180" s="123"/>
      <c r="D180" s="96"/>
      <c r="E180" s="123"/>
      <c r="F180" s="96"/>
      <c r="G180" s="120"/>
      <c r="H180" s="123"/>
      <c r="I180" s="127"/>
      <c r="J180" s="123"/>
      <c r="K180" s="127"/>
      <c r="L180" s="122"/>
      <c r="M180" s="113"/>
      <c r="N180" s="6"/>
    </row>
    <row r="181" spans="1:14" ht="15.75">
      <c r="A181" s="28"/>
      <c r="B181" s="68"/>
      <c r="C181" s="120"/>
      <c r="D181" s="119" t="s">
        <v>40</v>
      </c>
      <c r="E181" s="120"/>
      <c r="F181" s="125"/>
      <c r="G181" s="120"/>
      <c r="H181" s="119" t="s">
        <v>41</v>
      </c>
      <c r="I181" s="120"/>
      <c r="J181" s="121"/>
      <c r="K181" s="120"/>
      <c r="L181" s="122"/>
      <c r="M181" s="113"/>
      <c r="N181" s="6"/>
    </row>
    <row r="182" spans="1:14" ht="15.75">
      <c r="A182" s="28"/>
      <c r="B182" s="84"/>
      <c r="C182" s="121" t="s">
        <v>141</v>
      </c>
      <c r="D182" s="120" t="s">
        <v>152</v>
      </c>
      <c r="E182" s="121" t="s">
        <v>157</v>
      </c>
      <c r="F182" s="120" t="s">
        <v>152</v>
      </c>
      <c r="G182" s="120"/>
      <c r="H182" s="121" t="s">
        <v>141</v>
      </c>
      <c r="I182" s="120" t="s">
        <v>152</v>
      </c>
      <c r="J182" s="121" t="s">
        <v>157</v>
      </c>
      <c r="K182" s="120" t="s">
        <v>152</v>
      </c>
      <c r="L182" s="122"/>
      <c r="M182" s="113"/>
      <c r="N182" s="6"/>
    </row>
    <row r="183" spans="1:14" ht="15.75">
      <c r="A183" s="28"/>
      <c r="B183" s="68" t="s">
        <v>120</v>
      </c>
      <c r="C183" s="123">
        <v>4230</v>
      </c>
      <c r="D183" s="96">
        <f>C183/C187</f>
        <v>0.9465204743790557</v>
      </c>
      <c r="E183" s="123">
        <v>62125</v>
      </c>
      <c r="F183" s="96">
        <f>E183/E187</f>
        <v>0.9623725872912601</v>
      </c>
      <c r="G183" s="120"/>
      <c r="H183" s="123">
        <v>7708</v>
      </c>
      <c r="I183" s="96">
        <f>H183/H187</f>
        <v>0.9724955841534191</v>
      </c>
      <c r="J183" s="123">
        <v>49263</v>
      </c>
      <c r="K183" s="96">
        <f>J183/J187</f>
        <v>0.9841577433274732</v>
      </c>
      <c r="L183" s="122"/>
      <c r="M183" s="113"/>
      <c r="N183" s="6"/>
    </row>
    <row r="184" spans="1:14" ht="15.75">
      <c r="A184" s="28"/>
      <c r="B184" s="68" t="s">
        <v>121</v>
      </c>
      <c r="C184" s="123">
        <v>61</v>
      </c>
      <c r="D184" s="96">
        <f>C184/$C$187</f>
        <v>0.013649586037144775</v>
      </c>
      <c r="E184" s="123">
        <v>974</v>
      </c>
      <c r="F184" s="96">
        <f>E184/$E$187</f>
        <v>0.015088143259906435</v>
      </c>
      <c r="G184" s="120"/>
      <c r="H184" s="123">
        <v>41</v>
      </c>
      <c r="I184" s="96">
        <f>H184/$H$187</f>
        <v>0.005172848851879889</v>
      </c>
      <c r="J184" s="123">
        <v>307</v>
      </c>
      <c r="K184" s="96">
        <f>J184/$J$187</f>
        <v>0.006133130893399392</v>
      </c>
      <c r="L184" s="122"/>
      <c r="M184" s="113"/>
      <c r="N184" s="6"/>
    </row>
    <row r="185" spans="1:14" ht="15.75">
      <c r="A185" s="28"/>
      <c r="B185" s="68" t="s">
        <v>122</v>
      </c>
      <c r="C185" s="123">
        <v>40</v>
      </c>
      <c r="D185" s="96">
        <f>C185/$C$187</f>
        <v>0.008950548221078542</v>
      </c>
      <c r="E185" s="123">
        <v>635</v>
      </c>
      <c r="F185" s="96">
        <f>E185/$E$187</f>
        <v>0.009836725841930787</v>
      </c>
      <c r="G185" s="120"/>
      <c r="H185" s="123">
        <v>12</v>
      </c>
      <c r="I185" s="96">
        <f>H185/$H$187</f>
        <v>0.001514004542013626</v>
      </c>
      <c r="J185" s="123">
        <v>103</v>
      </c>
      <c r="K185" s="96">
        <f>J185/$J$187</f>
        <v>0.002057695381173086</v>
      </c>
      <c r="L185" s="122"/>
      <c r="M185" s="113"/>
      <c r="N185" s="6"/>
    </row>
    <row r="186" spans="1:14" ht="15.75">
      <c r="A186" s="28"/>
      <c r="B186" s="68" t="s">
        <v>123</v>
      </c>
      <c r="C186" s="123">
        <f>20+11+8+6+93</f>
        <v>138</v>
      </c>
      <c r="D186" s="96">
        <f>C186/$C$187</f>
        <v>0.030879391362720967</v>
      </c>
      <c r="E186" s="123">
        <f>64610-56-E185-E184-E183</f>
        <v>820</v>
      </c>
      <c r="F186" s="96">
        <f>E186/$E$187</f>
        <v>0.012702543606902749</v>
      </c>
      <c r="G186" s="120"/>
      <c r="H186" s="123">
        <f>4+6+4+15+136</f>
        <v>165</v>
      </c>
      <c r="I186" s="96">
        <f>H186/$H$187</f>
        <v>0.020817562452687358</v>
      </c>
      <c r="J186" s="123">
        <f>50092-36-J185-J184-J183</f>
        <v>383</v>
      </c>
      <c r="K186" s="96">
        <f>J186/$J$187</f>
        <v>0.007651430397954291</v>
      </c>
      <c r="L186" s="122"/>
      <c r="M186" s="113"/>
      <c r="N186" s="6"/>
    </row>
    <row r="187" spans="1:14" ht="15.75">
      <c r="A187" s="28"/>
      <c r="B187" s="68" t="str">
        <f>B177</f>
        <v>Total Performing  Assets</v>
      </c>
      <c r="C187" s="123">
        <f>SUM(C183:C186)</f>
        <v>4469</v>
      </c>
      <c r="D187" s="96">
        <f>SUM(D183:D186)</f>
        <v>1</v>
      </c>
      <c r="E187" s="123">
        <f>SUM(E183:E186)</f>
        <v>64554</v>
      </c>
      <c r="F187" s="96">
        <f>SUM(F183:F186)</f>
        <v>1</v>
      </c>
      <c r="G187" s="120"/>
      <c r="H187" s="123">
        <f>SUM(H183:H186)</f>
        <v>7926</v>
      </c>
      <c r="I187" s="96">
        <f>SUM(I183:I186)</f>
        <v>1</v>
      </c>
      <c r="J187" s="123">
        <f>SUM(J183:J186)</f>
        <v>50056</v>
      </c>
      <c r="K187" s="96">
        <f>SUM(K183:K186)</f>
        <v>0.9999999999999999</v>
      </c>
      <c r="L187" s="122"/>
      <c r="M187" s="113"/>
      <c r="N187" s="6"/>
    </row>
    <row r="188" spans="1:14" ht="15.75">
      <c r="A188" s="28"/>
      <c r="B188" s="68" t="s">
        <v>125</v>
      </c>
      <c r="C188" s="123">
        <v>4</v>
      </c>
      <c r="D188" s="126"/>
      <c r="E188" s="123">
        <v>56</v>
      </c>
      <c r="F188" s="124"/>
      <c r="G188" s="120"/>
      <c r="H188" s="123">
        <v>4</v>
      </c>
      <c r="I188" s="126"/>
      <c r="J188" s="123">
        <v>36</v>
      </c>
      <c r="K188" s="126"/>
      <c r="L188" s="122"/>
      <c r="M188" s="113"/>
      <c r="N188" s="6"/>
    </row>
    <row r="189" spans="1:14" ht="15.75">
      <c r="A189" s="28"/>
      <c r="B189" s="68" t="s">
        <v>126</v>
      </c>
      <c r="C189" s="123">
        <f>SUM(C187:C188)</f>
        <v>4473</v>
      </c>
      <c r="D189" s="84"/>
      <c r="E189" s="123">
        <f>E188+E187</f>
        <v>64610</v>
      </c>
      <c r="F189" s="127"/>
      <c r="G189" s="84"/>
      <c r="H189" s="123">
        <f>SUM(H187:H188)</f>
        <v>7930</v>
      </c>
      <c r="I189" s="84"/>
      <c r="J189" s="123">
        <f>J188+J187</f>
        <v>50092</v>
      </c>
      <c r="K189" s="84"/>
      <c r="L189" s="84"/>
      <c r="M189" s="84"/>
      <c r="N189" s="6"/>
    </row>
    <row r="190" spans="1:14" ht="15.75">
      <c r="A190" s="28"/>
      <c r="B190" s="68"/>
      <c r="C190" s="120"/>
      <c r="D190" s="121"/>
      <c r="E190" s="120"/>
      <c r="F190" s="121"/>
      <c r="G190" s="120"/>
      <c r="H190" s="128"/>
      <c r="I190" s="120"/>
      <c r="J190" s="123"/>
      <c r="K190" s="120"/>
      <c r="L190" s="122"/>
      <c r="M190" s="113"/>
      <c r="N190" s="6"/>
    </row>
    <row r="191" spans="1:14" ht="15.75">
      <c r="A191" s="28"/>
      <c r="B191" s="68" t="s">
        <v>126</v>
      </c>
      <c r="C191" s="120"/>
      <c r="D191" s="121"/>
      <c r="E191" s="120"/>
      <c r="F191" s="121"/>
      <c r="G191" s="120"/>
      <c r="H191" s="128"/>
      <c r="I191" s="126"/>
      <c r="J191" s="123">
        <f>E179+J179+E189+J189</f>
        <v>232371</v>
      </c>
      <c r="K191" s="127"/>
      <c r="L191" s="122"/>
      <c r="M191" s="113"/>
      <c r="N191" s="6"/>
    </row>
    <row r="192" spans="1:14" ht="15.75">
      <c r="A192" s="28"/>
      <c r="B192" s="68"/>
      <c r="C192" s="120"/>
      <c r="D192" s="121"/>
      <c r="E192" s="120"/>
      <c r="F192" s="121"/>
      <c r="G192" s="120"/>
      <c r="H192" s="121"/>
      <c r="I192" s="120"/>
      <c r="J192" s="123"/>
      <c r="K192" s="126"/>
      <c r="L192" s="122"/>
      <c r="M192" s="113"/>
      <c r="N192" s="6"/>
    </row>
    <row r="193" spans="1:14" ht="15.75">
      <c r="A193" s="28"/>
      <c r="B193" s="129" t="s">
        <v>127</v>
      </c>
      <c r="C193" s="120"/>
      <c r="D193" s="121"/>
      <c r="E193" s="120"/>
      <c r="F193" s="121"/>
      <c r="G193" s="120"/>
      <c r="H193" s="121"/>
      <c r="I193" s="120"/>
      <c r="J193" s="123"/>
      <c r="K193" s="120"/>
      <c r="L193" s="122"/>
      <c r="M193" s="113"/>
      <c r="N193" s="6"/>
    </row>
    <row r="194" spans="1:14" ht="15.75">
      <c r="A194" s="28"/>
      <c r="B194" s="68"/>
      <c r="C194" s="120"/>
      <c r="D194" s="121"/>
      <c r="E194" s="120"/>
      <c r="F194" s="121"/>
      <c r="G194" s="120"/>
      <c r="H194" s="121"/>
      <c r="I194" s="120"/>
      <c r="J194" s="123"/>
      <c r="K194" s="120"/>
      <c r="L194" s="122"/>
      <c r="M194" s="113"/>
      <c r="N194" s="6"/>
    </row>
    <row r="195" spans="1:14" ht="15.75">
      <c r="A195" s="28"/>
      <c r="B195" s="68" t="s">
        <v>128</v>
      </c>
      <c r="C195" s="120"/>
      <c r="D195" s="121"/>
      <c r="E195" s="120"/>
      <c r="F195" s="121"/>
      <c r="G195" s="120"/>
      <c r="H195" s="121"/>
      <c r="I195" s="120"/>
      <c r="J195" s="123">
        <f>E177+J177+E187+J187</f>
        <v>212545</v>
      </c>
      <c r="K195" s="120"/>
      <c r="L195" s="122"/>
      <c r="M195" s="113"/>
      <c r="N195" s="6"/>
    </row>
    <row r="196" spans="1:14" ht="15.75">
      <c r="A196" s="28"/>
      <c r="B196" s="68" t="s">
        <v>129</v>
      </c>
      <c r="C196" s="120"/>
      <c r="D196" s="121"/>
      <c r="E196" s="120"/>
      <c r="F196" s="121"/>
      <c r="G196" s="120"/>
      <c r="H196" s="121"/>
      <c r="I196" s="120"/>
      <c r="J196" s="123">
        <f>L93</f>
        <v>40244</v>
      </c>
      <c r="K196" s="120"/>
      <c r="L196" s="122"/>
      <c r="M196" s="113"/>
      <c r="N196" s="6"/>
    </row>
    <row r="197" spans="1:14" ht="15.75">
      <c r="A197" s="28"/>
      <c r="B197" s="68" t="s">
        <v>130</v>
      </c>
      <c r="C197" s="120"/>
      <c r="D197" s="121"/>
      <c r="E197" s="120"/>
      <c r="F197" s="121"/>
      <c r="G197" s="120"/>
      <c r="H197" s="121"/>
      <c r="I197" s="120"/>
      <c r="J197" s="123">
        <v>-1789</v>
      </c>
      <c r="K197" s="120"/>
      <c r="L197" s="122"/>
      <c r="M197" s="113"/>
      <c r="N197" s="6"/>
    </row>
    <row r="198" spans="1:14" ht="15.75">
      <c r="A198" s="28"/>
      <c r="B198" s="68" t="s">
        <v>131</v>
      </c>
      <c r="C198" s="120"/>
      <c r="D198" s="121"/>
      <c r="E198" s="120"/>
      <c r="F198" s="121"/>
      <c r="G198" s="120"/>
      <c r="H198" s="121"/>
      <c r="I198" s="120"/>
      <c r="J198" s="123">
        <f>SUM(J195:J197)</f>
        <v>251000</v>
      </c>
      <c r="K198" s="120"/>
      <c r="L198" s="122"/>
      <c r="M198" s="113"/>
      <c r="N198" s="6"/>
    </row>
    <row r="199" spans="1:14" ht="15.75">
      <c r="A199" s="28"/>
      <c r="B199" s="68"/>
      <c r="C199" s="120"/>
      <c r="D199" s="121"/>
      <c r="E199" s="120"/>
      <c r="F199" s="121"/>
      <c r="G199" s="120"/>
      <c r="H199" s="121"/>
      <c r="I199" s="120"/>
      <c r="J199" s="123"/>
      <c r="K199" s="120"/>
      <c r="L199" s="122"/>
      <c r="M199" s="113"/>
      <c r="N199" s="6"/>
    </row>
    <row r="200" spans="1:14" ht="15.75">
      <c r="A200" s="28"/>
      <c r="B200" s="68" t="s">
        <v>132</v>
      </c>
      <c r="C200" s="120"/>
      <c r="D200" s="121"/>
      <c r="E200" s="120"/>
      <c r="F200" s="121"/>
      <c r="G200" s="120"/>
      <c r="H200" s="121"/>
      <c r="I200" s="120"/>
      <c r="J200" s="123">
        <f>L30</f>
        <v>251000</v>
      </c>
      <c r="K200" s="120"/>
      <c r="L200" s="122"/>
      <c r="M200" s="113"/>
      <c r="N200" s="6"/>
    </row>
    <row r="201" spans="1:14" ht="15.75">
      <c r="A201" s="28"/>
      <c r="B201" s="68"/>
      <c r="C201" s="120"/>
      <c r="D201" s="121"/>
      <c r="E201" s="120"/>
      <c r="F201" s="121"/>
      <c r="G201" s="120"/>
      <c r="H201" s="121"/>
      <c r="I201" s="120"/>
      <c r="J201" s="123"/>
      <c r="K201" s="120"/>
      <c r="L201" s="122"/>
      <c r="M201" s="113"/>
      <c r="N201" s="6"/>
    </row>
    <row r="202" spans="1:14" ht="15.75">
      <c r="A202" s="28"/>
      <c r="B202" s="68" t="s">
        <v>133</v>
      </c>
      <c r="C202" s="120"/>
      <c r="D202" s="121"/>
      <c r="E202" s="120"/>
      <c r="F202" s="121"/>
      <c r="G202" s="120"/>
      <c r="H202" s="121"/>
      <c r="I202" s="120"/>
      <c r="J202" s="123">
        <f>J198/J200</f>
        <v>1</v>
      </c>
      <c r="K202" s="120"/>
      <c r="L202" s="122"/>
      <c r="M202" s="113"/>
      <c r="N202" s="6"/>
    </row>
    <row r="203" spans="1:14" ht="15.75">
      <c r="A203" s="28"/>
      <c r="B203" s="29"/>
      <c r="C203" s="29"/>
      <c r="D203" s="36"/>
      <c r="E203" s="29"/>
      <c r="F203" s="29"/>
      <c r="G203" s="29"/>
      <c r="H203" s="66"/>
      <c r="I203" s="130"/>
      <c r="J203" s="67"/>
      <c r="K203" s="130"/>
      <c r="L203" s="99"/>
      <c r="M203" s="29"/>
      <c r="N203" s="6"/>
    </row>
    <row r="204" spans="1:14" ht="15.75">
      <c r="A204" s="131"/>
      <c r="B204" s="33" t="s">
        <v>134</v>
      </c>
      <c r="C204" s="132"/>
      <c r="D204" s="120" t="s">
        <v>153</v>
      </c>
      <c r="E204" s="122"/>
      <c r="F204" s="33" t="s">
        <v>166</v>
      </c>
      <c r="G204" s="133"/>
      <c r="H204" s="133"/>
      <c r="I204" s="133"/>
      <c r="J204" s="134"/>
      <c r="K204" s="32"/>
      <c r="L204" s="32"/>
      <c r="M204" s="32"/>
      <c r="N204" s="6"/>
    </row>
    <row r="205" spans="1:14" ht="15.75">
      <c r="A205" s="135"/>
      <c r="B205" s="15" t="s">
        <v>135</v>
      </c>
      <c r="C205" s="136"/>
      <c r="D205" s="137" t="s">
        <v>154</v>
      </c>
      <c r="E205" s="15"/>
      <c r="F205" s="15" t="s">
        <v>167</v>
      </c>
      <c r="G205" s="136"/>
      <c r="H205" s="136"/>
      <c r="I205" s="14"/>
      <c r="J205" s="14"/>
      <c r="K205" s="14"/>
      <c r="L205" s="14"/>
      <c r="M205" s="14"/>
      <c r="N205" s="6"/>
    </row>
    <row r="206" spans="1:14" ht="15.75">
      <c r="A206" s="135"/>
      <c r="B206" s="15" t="s">
        <v>136</v>
      </c>
      <c r="C206" s="136"/>
      <c r="D206" s="137" t="s">
        <v>155</v>
      </c>
      <c r="E206" s="15"/>
      <c r="F206" s="15" t="s">
        <v>168</v>
      </c>
      <c r="G206" s="136"/>
      <c r="H206" s="136"/>
      <c r="I206" s="14"/>
      <c r="J206" s="14"/>
      <c r="K206" s="14"/>
      <c r="L206" s="14"/>
      <c r="M206" s="14"/>
      <c r="N206" s="6"/>
    </row>
    <row r="207" spans="1:14" ht="15.75">
      <c r="A207" s="135"/>
      <c r="B207" s="15"/>
      <c r="C207" s="136"/>
      <c r="D207" s="137"/>
      <c r="E207" s="15"/>
      <c r="F207" s="15"/>
      <c r="G207" s="136"/>
      <c r="H207" s="136"/>
      <c r="I207" s="14"/>
      <c r="J207" s="14"/>
      <c r="K207" s="14"/>
      <c r="L207" s="14"/>
      <c r="M207" s="14"/>
      <c r="N207" s="6"/>
    </row>
    <row r="208" spans="1:14" ht="15.75">
      <c r="A208" s="135"/>
      <c r="B208" s="15"/>
      <c r="C208" s="136"/>
      <c r="D208" s="137"/>
      <c r="E208" s="15"/>
      <c r="F208" s="15"/>
      <c r="G208" s="136"/>
      <c r="H208" s="136"/>
      <c r="I208" s="14"/>
      <c r="J208" s="14"/>
      <c r="K208" s="14"/>
      <c r="L208" s="14"/>
      <c r="M208" s="14"/>
      <c r="N208" s="6"/>
    </row>
    <row r="209" spans="1:14" ht="15.75">
      <c r="A209" s="135"/>
      <c r="B209" s="15" t="str">
        <f>B148</f>
        <v>PPAF1 INVESTOR REPORT QUARTER ENDING MAY 2002</v>
      </c>
      <c r="C209" s="136"/>
      <c r="D209" s="137"/>
      <c r="E209" s="15"/>
      <c r="F209" s="15"/>
      <c r="G209" s="136"/>
      <c r="H209" s="136"/>
      <c r="I209" s="14"/>
      <c r="J209" s="14"/>
      <c r="K209" s="14"/>
      <c r="L209" s="14"/>
      <c r="M209" s="14"/>
      <c r="N209" s="6"/>
    </row>
    <row r="210" spans="1:13" ht="15">
      <c r="A210" s="138"/>
      <c r="B210" s="138"/>
      <c r="C210" s="138"/>
      <c r="D210" s="138"/>
      <c r="E210" s="138"/>
      <c r="F210" s="138"/>
      <c r="G210" s="138"/>
      <c r="H210" s="138"/>
      <c r="I210" s="138"/>
      <c r="J210" s="138"/>
      <c r="K210" s="138"/>
      <c r="L210" s="138"/>
      <c r="M210" s="138"/>
    </row>
  </sheetData>
  <printOptions horizontalCentered="1" verticalCentered="1"/>
  <pageMargins left="0.2362204724409449" right="0.4330708661417323" top="0.2362204724409449" bottom="0.7480314960629921" header="0" footer="0"/>
  <pageSetup horizontalDpi="600" verticalDpi="600" orientation="landscape" paperSize="9" scale="50" r:id="rId2"/>
  <rowBreaks count="4" manualBreakCount="4">
    <brk id="50" max="13" man="1"/>
    <brk id="97" max="13" man="1"/>
    <brk id="148" max="13" man="1"/>
    <brk id="210" max="0" man="1"/>
  </rowBreaks>
  <drawing r:id="rId1"/>
</worksheet>
</file>

<file path=xl/worksheets/sheet5.xml><?xml version="1.0" encoding="utf-8"?>
<worksheet xmlns="http://schemas.openxmlformats.org/spreadsheetml/2006/main" xmlns:r="http://schemas.openxmlformats.org/officeDocument/2006/relationships">
  <dimension ref="A1:O210"/>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1.6640625" style="1" customWidth="1"/>
    <col min="3" max="3" width="12.6640625" style="1" customWidth="1"/>
    <col min="4" max="4" width="14.6640625" style="1" customWidth="1"/>
    <col min="5" max="5" width="11.6640625" style="1" customWidth="1"/>
    <col min="6" max="6" width="14.6640625" style="1" customWidth="1"/>
    <col min="7" max="7" width="7.6640625" style="1" customWidth="1"/>
    <col min="8" max="8" width="13.6640625" style="1" customWidth="1"/>
    <col min="9" max="9" width="9.6640625" style="1" customWidth="1"/>
    <col min="10" max="10" width="13.6640625" style="1" customWidth="1"/>
    <col min="11" max="11" width="8.6640625" style="1" customWidth="1"/>
    <col min="12" max="13" width="15.664062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8"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2" t="s">
        <v>2</v>
      </c>
      <c r="C5" s="13"/>
      <c r="D5" s="9"/>
      <c r="E5" s="9"/>
      <c r="F5" s="9"/>
      <c r="G5" s="9"/>
      <c r="H5" s="9"/>
      <c r="I5" s="9"/>
      <c r="J5" s="9"/>
      <c r="K5" s="9"/>
      <c r="L5" s="9"/>
      <c r="M5" s="9"/>
      <c r="N5" s="6"/>
    </row>
    <row r="6" spans="1:14" ht="15.75">
      <c r="A6" s="7"/>
      <c r="B6" s="12" t="s">
        <v>3</v>
      </c>
      <c r="C6" s="13"/>
      <c r="D6" s="9"/>
      <c r="E6" s="9"/>
      <c r="F6" s="9"/>
      <c r="G6" s="9"/>
      <c r="H6" s="9"/>
      <c r="I6" s="9"/>
      <c r="J6" s="9"/>
      <c r="K6" s="9"/>
      <c r="L6" s="9"/>
      <c r="M6" s="9"/>
      <c r="N6" s="6"/>
    </row>
    <row r="7" spans="1:14" ht="15.75">
      <c r="A7" s="7"/>
      <c r="B7" s="12" t="s">
        <v>4</v>
      </c>
      <c r="C7" s="13"/>
      <c r="D7" s="9"/>
      <c r="E7" s="9"/>
      <c r="F7" s="9"/>
      <c r="G7" s="9"/>
      <c r="H7" s="9"/>
      <c r="I7" s="9"/>
      <c r="J7" s="9"/>
      <c r="K7" s="9"/>
      <c r="L7" s="9"/>
      <c r="M7" s="9"/>
      <c r="N7" s="6"/>
    </row>
    <row r="8" spans="1:14" ht="15.75">
      <c r="A8" s="7"/>
      <c r="B8" s="14"/>
      <c r="C8" s="13"/>
      <c r="D8" s="9"/>
      <c r="E8" s="9"/>
      <c r="F8" s="9"/>
      <c r="G8" s="9"/>
      <c r="H8" s="9"/>
      <c r="I8" s="9"/>
      <c r="J8" s="9"/>
      <c r="K8" s="9"/>
      <c r="L8" s="9"/>
      <c r="M8" s="9"/>
      <c r="N8" s="6"/>
    </row>
    <row r="9" spans="1:14" ht="15.75">
      <c r="A9" s="7"/>
      <c r="B9" s="13"/>
      <c r="C9" s="13"/>
      <c r="D9" s="15"/>
      <c r="E9" s="15"/>
      <c r="F9" s="9"/>
      <c r="G9" s="9"/>
      <c r="H9" s="9"/>
      <c r="I9" s="9"/>
      <c r="J9" s="9"/>
      <c r="K9" s="9"/>
      <c r="L9" s="9"/>
      <c r="M9" s="9"/>
      <c r="N9" s="6"/>
    </row>
    <row r="10" spans="1:14" ht="15.75">
      <c r="A10" s="7"/>
      <c r="B10" s="15" t="s">
        <v>5</v>
      </c>
      <c r="C10" s="15"/>
      <c r="D10" s="9"/>
      <c r="E10" s="9"/>
      <c r="F10" s="9"/>
      <c r="G10" s="9"/>
      <c r="H10" s="9"/>
      <c r="I10" s="9"/>
      <c r="J10" s="9"/>
      <c r="K10" s="9"/>
      <c r="L10" s="9"/>
      <c r="M10" s="9"/>
      <c r="N10" s="6"/>
    </row>
    <row r="11" spans="1:14" ht="15.75">
      <c r="A11" s="7"/>
      <c r="B11" s="15"/>
      <c r="C11" s="15"/>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6" t="s">
        <v>6</v>
      </c>
      <c r="C13" s="16"/>
      <c r="D13" s="17"/>
      <c r="E13" s="17"/>
      <c r="F13" s="17"/>
      <c r="G13" s="17"/>
      <c r="H13" s="17"/>
      <c r="I13" s="17"/>
      <c r="J13" s="17"/>
      <c r="K13" s="17"/>
      <c r="L13" s="18" t="s">
        <v>186</v>
      </c>
      <c r="M13" s="9"/>
      <c r="N13" s="6"/>
    </row>
    <row r="14" spans="1:14" ht="15.75">
      <c r="A14" s="7"/>
      <c r="B14" s="16" t="s">
        <v>7</v>
      </c>
      <c r="C14" s="16"/>
      <c r="D14" s="19" t="s">
        <v>140</v>
      </c>
      <c r="E14" s="20">
        <v>0.348</v>
      </c>
      <c r="F14" s="19" t="s">
        <v>150</v>
      </c>
      <c r="G14" s="20">
        <v>0.229</v>
      </c>
      <c r="H14" s="19" t="s">
        <v>156</v>
      </c>
      <c r="I14" s="20">
        <v>0.098</v>
      </c>
      <c r="J14" s="19" t="s">
        <v>165</v>
      </c>
      <c r="K14" s="20">
        <v>0.1</v>
      </c>
      <c r="L14" s="18"/>
      <c r="M14" s="17"/>
      <c r="N14" s="6"/>
    </row>
    <row r="15" spans="1:14" ht="15.75">
      <c r="A15" s="7"/>
      <c r="B15" s="16" t="s">
        <v>8</v>
      </c>
      <c r="C15" s="16"/>
      <c r="D15" s="19" t="s">
        <v>140</v>
      </c>
      <c r="E15" s="20">
        <f>E177/($J$195+$L$93)</f>
        <v>0.24698463936326343</v>
      </c>
      <c r="F15" s="19" t="s">
        <v>150</v>
      </c>
      <c r="G15" s="20">
        <f>J177/($J$195+$L$93)</f>
        <v>0.12937271795845548</v>
      </c>
      <c r="H15" s="19" t="s">
        <v>156</v>
      </c>
      <c r="I15" s="20">
        <f>E187/($J$195+$L$93)</f>
        <v>0.22088777597126458</v>
      </c>
      <c r="J15" s="19" t="s">
        <v>165</v>
      </c>
      <c r="K15" s="20">
        <f>J187/($J$195+$L$93)</f>
        <v>0.22160774400784844</v>
      </c>
      <c r="L15" s="18"/>
      <c r="M15" s="17"/>
      <c r="N15" s="6"/>
    </row>
    <row r="16" spans="1:14" ht="15.75">
      <c r="A16" s="7"/>
      <c r="B16" s="16" t="s">
        <v>9</v>
      </c>
      <c r="C16" s="16"/>
      <c r="D16" s="17"/>
      <c r="E16" s="17"/>
      <c r="F16" s="17"/>
      <c r="G16" s="17"/>
      <c r="H16" s="17"/>
      <c r="I16" s="17"/>
      <c r="J16" s="17"/>
      <c r="K16" s="17"/>
      <c r="L16" s="178">
        <v>37070</v>
      </c>
      <c r="M16" s="9"/>
      <c r="N16" s="6"/>
    </row>
    <row r="17" spans="1:14" ht="15.75">
      <c r="A17" s="7"/>
      <c r="B17" s="16" t="s">
        <v>10</v>
      </c>
      <c r="C17" s="16"/>
      <c r="D17" s="17"/>
      <c r="E17" s="17"/>
      <c r="F17" s="17"/>
      <c r="G17" s="17"/>
      <c r="H17" s="17"/>
      <c r="I17" s="17"/>
      <c r="J17" s="17"/>
      <c r="K17" s="17"/>
      <c r="L17" s="21">
        <v>37520</v>
      </c>
      <c r="M17" s="9"/>
      <c r="N17" s="6"/>
    </row>
    <row r="18" spans="1:14" ht="15.75">
      <c r="A18" s="7"/>
      <c r="B18" s="9"/>
      <c r="C18" s="9"/>
      <c r="D18" s="9"/>
      <c r="E18" s="9"/>
      <c r="F18" s="9"/>
      <c r="G18" s="9"/>
      <c r="H18" s="9"/>
      <c r="I18" s="9"/>
      <c r="J18" s="9"/>
      <c r="K18" s="9"/>
      <c r="L18" s="22"/>
      <c r="M18" s="9"/>
      <c r="N18" s="6"/>
    </row>
    <row r="19" spans="1:14" ht="15.75">
      <c r="A19" s="7"/>
      <c r="B19" s="23" t="s">
        <v>11</v>
      </c>
      <c r="C19" s="9"/>
      <c r="D19" s="9"/>
      <c r="E19" s="9"/>
      <c r="F19" s="9"/>
      <c r="G19" s="9"/>
      <c r="H19" s="9"/>
      <c r="I19" s="9"/>
      <c r="J19" s="22"/>
      <c r="K19" s="9"/>
      <c r="L19" s="14"/>
      <c r="M19" s="9"/>
      <c r="N19" s="6"/>
    </row>
    <row r="20" spans="1:14" ht="15.75">
      <c r="A20" s="7"/>
      <c r="B20" s="9"/>
      <c r="C20" s="9"/>
      <c r="D20" s="9"/>
      <c r="E20" s="9"/>
      <c r="F20" s="9"/>
      <c r="G20" s="9"/>
      <c r="H20" s="9"/>
      <c r="I20" s="9"/>
      <c r="J20" s="9"/>
      <c r="K20" s="9"/>
      <c r="L20" s="24"/>
      <c r="M20" s="9"/>
      <c r="N20" s="6"/>
    </row>
    <row r="21" spans="1:14" ht="15.75">
      <c r="A21" s="7"/>
      <c r="B21" s="9"/>
      <c r="C21" s="159" t="s">
        <v>137</v>
      </c>
      <c r="D21" s="161" t="s">
        <v>142</v>
      </c>
      <c r="E21" s="161"/>
      <c r="F21" s="161" t="s">
        <v>158</v>
      </c>
      <c r="G21" s="161"/>
      <c r="H21" s="161" t="s">
        <v>169</v>
      </c>
      <c r="I21" s="26"/>
      <c r="J21" s="27"/>
      <c r="K21" s="14"/>
      <c r="L21" s="14"/>
      <c r="M21" s="9"/>
      <c r="N21" s="6"/>
    </row>
    <row r="22" spans="1:14" ht="15.75">
      <c r="A22" s="28"/>
      <c r="B22" s="29" t="s">
        <v>12</v>
      </c>
      <c r="C22" s="160" t="s">
        <v>138</v>
      </c>
      <c r="D22" s="31" t="s">
        <v>143</v>
      </c>
      <c r="E22" s="31"/>
      <c r="F22" s="31" t="s">
        <v>159</v>
      </c>
      <c r="G22" s="31"/>
      <c r="H22" s="31" t="s">
        <v>170</v>
      </c>
      <c r="I22" s="31"/>
      <c r="J22" s="31"/>
      <c r="K22" s="32"/>
      <c r="L22" s="32"/>
      <c r="M22" s="29"/>
      <c r="N22" s="6"/>
    </row>
    <row r="23" spans="1:14" ht="15.75">
      <c r="A23" s="28"/>
      <c r="B23" s="29" t="s">
        <v>13</v>
      </c>
      <c r="C23" s="30"/>
      <c r="D23" s="31" t="s">
        <v>144</v>
      </c>
      <c r="E23" s="31"/>
      <c r="F23" s="31" t="s">
        <v>160</v>
      </c>
      <c r="G23" s="31"/>
      <c r="H23" s="31" t="s">
        <v>171</v>
      </c>
      <c r="I23" s="31"/>
      <c r="J23" s="31"/>
      <c r="K23" s="32"/>
      <c r="L23" s="32"/>
      <c r="M23" s="29"/>
      <c r="N23" s="6"/>
    </row>
    <row r="24" spans="1:14" ht="15.75">
      <c r="A24" s="28"/>
      <c r="B24" s="33" t="s">
        <v>14</v>
      </c>
      <c r="C24" s="33"/>
      <c r="D24" s="34" t="s">
        <v>143</v>
      </c>
      <c r="E24" s="34"/>
      <c r="F24" s="34" t="s">
        <v>159</v>
      </c>
      <c r="G24" s="34"/>
      <c r="H24" s="34" t="s">
        <v>170</v>
      </c>
      <c r="I24" s="34"/>
      <c r="J24" s="34"/>
      <c r="K24" s="35"/>
      <c r="L24" s="32"/>
      <c r="M24" s="29"/>
      <c r="N24" s="6"/>
    </row>
    <row r="25" spans="1:14" ht="15.75">
      <c r="A25" s="28"/>
      <c r="B25" s="33" t="s">
        <v>15</v>
      </c>
      <c r="C25" s="33"/>
      <c r="D25" s="34" t="s">
        <v>144</v>
      </c>
      <c r="E25" s="34"/>
      <c r="F25" s="34" t="s">
        <v>160</v>
      </c>
      <c r="G25" s="34"/>
      <c r="H25" s="34" t="s">
        <v>171</v>
      </c>
      <c r="I25" s="34"/>
      <c r="J25" s="34"/>
      <c r="K25" s="35"/>
      <c r="L25" s="32"/>
      <c r="M25" s="29"/>
      <c r="N25" s="6"/>
    </row>
    <row r="26" spans="1:14" ht="15.75">
      <c r="A26" s="28"/>
      <c r="B26" s="29" t="s">
        <v>16</v>
      </c>
      <c r="C26" s="29"/>
      <c r="D26" s="36" t="s">
        <v>145</v>
      </c>
      <c r="E26" s="31"/>
      <c r="F26" s="36" t="s">
        <v>161</v>
      </c>
      <c r="G26" s="31"/>
      <c r="H26" s="36" t="s">
        <v>172</v>
      </c>
      <c r="I26" s="31"/>
      <c r="J26" s="36"/>
      <c r="K26" s="32"/>
      <c r="L26" s="32"/>
      <c r="M26" s="29"/>
      <c r="N26" s="6"/>
    </row>
    <row r="27" spans="1:14" ht="15.75">
      <c r="A27" s="28"/>
      <c r="B27" s="29"/>
      <c r="C27" s="29"/>
      <c r="D27" s="29"/>
      <c r="E27" s="31"/>
      <c r="F27" s="31"/>
      <c r="G27" s="31"/>
      <c r="H27" s="31"/>
      <c r="I27" s="31"/>
      <c r="J27" s="31"/>
      <c r="K27" s="32"/>
      <c r="L27" s="32"/>
      <c r="M27" s="29"/>
      <c r="N27" s="6"/>
    </row>
    <row r="28" spans="1:14" ht="15.75">
      <c r="A28" s="28"/>
      <c r="B28" s="29" t="s">
        <v>17</v>
      </c>
      <c r="C28" s="29"/>
      <c r="D28" s="37">
        <v>178210</v>
      </c>
      <c r="E28" s="38"/>
      <c r="F28" s="37">
        <v>51450</v>
      </c>
      <c r="G28" s="37"/>
      <c r="H28" s="37">
        <v>21340</v>
      </c>
      <c r="I28" s="37"/>
      <c r="J28" s="37"/>
      <c r="K28" s="39"/>
      <c r="L28" s="37">
        <f>J28+H28+F28+D28</f>
        <v>251000</v>
      </c>
      <c r="M28" s="40"/>
      <c r="N28" s="6"/>
    </row>
    <row r="29" spans="1:14" ht="15.75">
      <c r="A29" s="28"/>
      <c r="B29" s="29" t="s">
        <v>18</v>
      </c>
      <c r="C29" s="44">
        <v>1</v>
      </c>
      <c r="D29" s="37">
        <v>178210</v>
      </c>
      <c r="E29" s="38"/>
      <c r="F29" s="37">
        <v>51450</v>
      </c>
      <c r="G29" s="37"/>
      <c r="H29" s="37">
        <v>21340</v>
      </c>
      <c r="I29" s="42"/>
      <c r="J29" s="37"/>
      <c r="K29" s="39"/>
      <c r="L29" s="37">
        <f>J29+H29+F29+D29</f>
        <v>251000</v>
      </c>
      <c r="M29" s="40"/>
      <c r="N29" s="6"/>
    </row>
    <row r="30" spans="1:14" ht="15.75">
      <c r="A30" s="43"/>
      <c r="B30" s="33" t="s">
        <v>19</v>
      </c>
      <c r="C30" s="44">
        <v>1</v>
      </c>
      <c r="D30" s="45">
        <v>178210</v>
      </c>
      <c r="E30" s="46"/>
      <c r="F30" s="45">
        <v>51450</v>
      </c>
      <c r="G30" s="45"/>
      <c r="H30" s="45">
        <v>21340</v>
      </c>
      <c r="I30" s="45"/>
      <c r="J30" s="45"/>
      <c r="K30" s="47"/>
      <c r="L30" s="45">
        <f>J30+H30+F30+D30</f>
        <v>251000</v>
      </c>
      <c r="M30" s="29"/>
      <c r="N30" s="6"/>
    </row>
    <row r="31" spans="1:14" ht="15.75">
      <c r="A31" s="28"/>
      <c r="B31" s="29" t="s">
        <v>20</v>
      </c>
      <c r="C31" s="48"/>
      <c r="D31" s="36" t="s">
        <v>146</v>
      </c>
      <c r="E31" s="29"/>
      <c r="F31" s="36" t="s">
        <v>162</v>
      </c>
      <c r="G31" s="36"/>
      <c r="H31" s="36" t="s">
        <v>173</v>
      </c>
      <c r="I31" s="36"/>
      <c r="J31" s="36"/>
      <c r="K31" s="32"/>
      <c r="L31" s="32"/>
      <c r="M31" s="29"/>
      <c r="N31" s="6"/>
    </row>
    <row r="32" spans="1:14" ht="15.75">
      <c r="A32" s="28"/>
      <c r="B32" s="29" t="s">
        <v>21</v>
      </c>
      <c r="C32" s="48"/>
      <c r="D32" s="49">
        <v>0.0447594</v>
      </c>
      <c r="E32" s="50"/>
      <c r="F32" s="49">
        <v>0.0503594</v>
      </c>
      <c r="G32" s="49"/>
      <c r="H32" s="49">
        <v>0.0643594</v>
      </c>
      <c r="I32" s="51"/>
      <c r="J32" s="49"/>
      <c r="K32" s="32"/>
      <c r="L32" s="51">
        <f>SUMPRODUCT(D32:J32,D30:J30)/L30</f>
        <v>0.04757367888446215</v>
      </c>
      <c r="M32" s="29"/>
      <c r="N32" s="6"/>
    </row>
    <row r="33" spans="1:14" ht="15.75">
      <c r="A33" s="28"/>
      <c r="B33" s="29" t="s">
        <v>22</v>
      </c>
      <c r="C33" s="48"/>
      <c r="D33" s="49">
        <v>0.0440125</v>
      </c>
      <c r="E33" s="50"/>
      <c r="F33" s="49">
        <v>0.0496125</v>
      </c>
      <c r="G33" s="49"/>
      <c r="H33" s="49">
        <v>0.0636125</v>
      </c>
      <c r="I33" s="51"/>
      <c r="J33" s="49"/>
      <c r="K33" s="32"/>
      <c r="L33" s="32"/>
      <c r="M33" s="29"/>
      <c r="N33" s="6"/>
    </row>
    <row r="34" spans="1:14" ht="15.75">
      <c r="A34" s="28"/>
      <c r="B34" s="29" t="s">
        <v>23</v>
      </c>
      <c r="C34" s="48"/>
      <c r="D34" s="36" t="s">
        <v>147</v>
      </c>
      <c r="E34" s="29"/>
      <c r="F34" s="36" t="s">
        <v>147</v>
      </c>
      <c r="G34" s="36"/>
      <c r="H34" s="36" t="s">
        <v>147</v>
      </c>
      <c r="I34" s="36"/>
      <c r="J34" s="36"/>
      <c r="K34" s="32"/>
      <c r="L34" s="32"/>
      <c r="M34" s="29"/>
      <c r="N34" s="6"/>
    </row>
    <row r="35" spans="1:14" ht="15.75">
      <c r="A35" s="28"/>
      <c r="B35" s="29" t="s">
        <v>24</v>
      </c>
      <c r="C35" s="29"/>
      <c r="D35" s="52">
        <v>39248</v>
      </c>
      <c r="E35" s="29"/>
      <c r="F35" s="52">
        <v>39248</v>
      </c>
      <c r="G35" s="52"/>
      <c r="H35" s="52">
        <v>39248</v>
      </c>
      <c r="I35" s="36"/>
      <c r="J35" s="36"/>
      <c r="K35" s="32"/>
      <c r="L35" s="32"/>
      <c r="M35" s="29"/>
      <c r="N35" s="6"/>
    </row>
    <row r="36" spans="1:14" ht="15.75">
      <c r="A36" s="28"/>
      <c r="B36" s="29" t="s">
        <v>25</v>
      </c>
      <c r="C36" s="29"/>
      <c r="D36" s="36" t="s">
        <v>148</v>
      </c>
      <c r="E36" s="29"/>
      <c r="F36" s="36" t="s">
        <v>163</v>
      </c>
      <c r="G36" s="36"/>
      <c r="H36" s="36" t="s">
        <v>174</v>
      </c>
      <c r="I36" s="36"/>
      <c r="J36" s="36"/>
      <c r="K36" s="32"/>
      <c r="L36" s="32"/>
      <c r="M36" s="29"/>
      <c r="N36" s="6"/>
    </row>
    <row r="37" spans="1:14" ht="15.75">
      <c r="A37" s="28"/>
      <c r="B37" s="29"/>
      <c r="C37" s="29"/>
      <c r="D37" s="53"/>
      <c r="E37" s="53"/>
      <c r="F37" s="29"/>
      <c r="G37" s="53"/>
      <c r="H37" s="53"/>
      <c r="I37" s="53"/>
      <c r="J37" s="53"/>
      <c r="K37" s="53"/>
      <c r="L37" s="53"/>
      <c r="M37" s="29"/>
      <c r="N37" s="6"/>
    </row>
    <row r="38" spans="1:14" ht="15.75">
      <c r="A38" s="28"/>
      <c r="B38" s="29" t="s">
        <v>26</v>
      </c>
      <c r="C38" s="29"/>
      <c r="D38" s="29"/>
      <c r="E38" s="29"/>
      <c r="F38" s="50"/>
      <c r="G38" s="29"/>
      <c r="H38" s="50"/>
      <c r="I38" s="29"/>
      <c r="J38" s="29"/>
      <c r="K38" s="29"/>
      <c r="L38" s="51">
        <f>(H28+F28)/(D28)</f>
        <v>0.4084507042253521</v>
      </c>
      <c r="M38" s="29"/>
      <c r="N38" s="6"/>
    </row>
    <row r="39" spans="1:14" ht="15.75">
      <c r="A39" s="28"/>
      <c r="B39" s="29" t="s">
        <v>27</v>
      </c>
      <c r="C39" s="29"/>
      <c r="D39" s="29"/>
      <c r="E39" s="29"/>
      <c r="F39" s="50"/>
      <c r="G39" s="29"/>
      <c r="H39" s="50"/>
      <c r="I39" s="29"/>
      <c r="J39" s="29"/>
      <c r="K39" s="29"/>
      <c r="L39" s="51">
        <f>(H30+F30)/(D30)</f>
        <v>0.4084507042253521</v>
      </c>
      <c r="M39" s="29"/>
      <c r="N39" s="6"/>
    </row>
    <row r="40" spans="1:14" ht="15.75">
      <c r="A40" s="28"/>
      <c r="B40" s="29" t="s">
        <v>28</v>
      </c>
      <c r="C40" s="29"/>
      <c r="D40" s="29"/>
      <c r="E40" s="29"/>
      <c r="F40" s="29"/>
      <c r="G40" s="29"/>
      <c r="H40" s="29"/>
      <c r="I40" s="29"/>
      <c r="J40" s="36" t="s">
        <v>142</v>
      </c>
      <c r="K40" s="36" t="s">
        <v>185</v>
      </c>
      <c r="L40" s="37">
        <v>38766</v>
      </c>
      <c r="M40" s="29"/>
      <c r="N40" s="6"/>
    </row>
    <row r="41" spans="1:14" ht="15.75">
      <c r="A41" s="28"/>
      <c r="B41" s="29"/>
      <c r="C41" s="29"/>
      <c r="D41" s="29"/>
      <c r="E41" s="29"/>
      <c r="F41" s="29"/>
      <c r="G41" s="29"/>
      <c r="H41" s="29"/>
      <c r="I41" s="29"/>
      <c r="J41" s="29" t="s">
        <v>177</v>
      </c>
      <c r="K41" s="29"/>
      <c r="L41" s="54"/>
      <c r="M41" s="29"/>
      <c r="N41" s="6"/>
    </row>
    <row r="42" spans="1:14" ht="15.75">
      <c r="A42" s="28"/>
      <c r="B42" s="29" t="s">
        <v>29</v>
      </c>
      <c r="C42" s="29"/>
      <c r="D42" s="29"/>
      <c r="E42" s="29"/>
      <c r="F42" s="29"/>
      <c r="G42" s="29"/>
      <c r="H42" s="29"/>
      <c r="I42" s="29"/>
      <c r="J42" s="36"/>
      <c r="K42" s="36"/>
      <c r="L42" s="36" t="s">
        <v>187</v>
      </c>
      <c r="M42" s="29"/>
      <c r="N42" s="6"/>
    </row>
    <row r="43" spans="1:14" ht="15.75">
      <c r="A43" s="43"/>
      <c r="B43" s="33" t="s">
        <v>30</v>
      </c>
      <c r="C43" s="33"/>
      <c r="D43" s="33"/>
      <c r="E43" s="33"/>
      <c r="F43" s="33"/>
      <c r="G43" s="33"/>
      <c r="H43" s="33"/>
      <c r="I43" s="33"/>
      <c r="J43" s="55"/>
      <c r="K43" s="55"/>
      <c r="L43" s="56">
        <v>37515</v>
      </c>
      <c r="M43" s="33"/>
      <c r="N43" s="6"/>
    </row>
    <row r="44" spans="1:14" ht="15.75">
      <c r="A44" s="28"/>
      <c r="B44" s="29" t="s">
        <v>31</v>
      </c>
      <c r="C44" s="29"/>
      <c r="D44" s="29"/>
      <c r="E44" s="29"/>
      <c r="F44" s="29"/>
      <c r="G44" s="29"/>
      <c r="H44" s="32"/>
      <c r="I44" s="29">
        <f>L44-J44+1</f>
        <v>94</v>
      </c>
      <c r="J44" s="58">
        <v>37330</v>
      </c>
      <c r="K44" s="59"/>
      <c r="L44" s="58">
        <v>37423</v>
      </c>
      <c r="M44" s="29"/>
      <c r="N44" s="6"/>
    </row>
    <row r="45" spans="1:14" ht="15.75">
      <c r="A45" s="28"/>
      <c r="B45" s="29" t="s">
        <v>32</v>
      </c>
      <c r="C45" s="29"/>
      <c r="D45" s="29"/>
      <c r="E45" s="29"/>
      <c r="F45" s="29"/>
      <c r="G45" s="29"/>
      <c r="H45" s="32"/>
      <c r="I45" s="29">
        <f>L45-J45+1</f>
        <v>91</v>
      </c>
      <c r="J45" s="58">
        <v>37424</v>
      </c>
      <c r="K45" s="59"/>
      <c r="L45" s="58">
        <v>37514</v>
      </c>
      <c r="M45" s="29"/>
      <c r="N45" s="6"/>
    </row>
    <row r="46" spans="1:14" ht="15.75">
      <c r="A46" s="28"/>
      <c r="B46" s="29" t="s">
        <v>33</v>
      </c>
      <c r="C46" s="29"/>
      <c r="D46" s="29"/>
      <c r="E46" s="29"/>
      <c r="F46" s="29"/>
      <c r="G46" s="29"/>
      <c r="H46" s="29"/>
      <c r="I46" s="29"/>
      <c r="J46" s="58"/>
      <c r="K46" s="59"/>
      <c r="L46" s="58" t="s">
        <v>188</v>
      </c>
      <c r="M46" s="29"/>
      <c r="N46" s="6"/>
    </row>
    <row r="47" spans="1:14" ht="15.75">
      <c r="A47" s="28"/>
      <c r="B47" s="29" t="s">
        <v>34</v>
      </c>
      <c r="C47" s="29"/>
      <c r="D47" s="29"/>
      <c r="E47" s="29"/>
      <c r="F47" s="29"/>
      <c r="G47" s="29"/>
      <c r="H47" s="29"/>
      <c r="I47" s="29"/>
      <c r="J47" s="58"/>
      <c r="K47" s="59"/>
      <c r="L47" s="58">
        <v>37504</v>
      </c>
      <c r="M47" s="29"/>
      <c r="N47" s="6"/>
    </row>
    <row r="48" spans="1:14" ht="15.75">
      <c r="A48" s="28"/>
      <c r="B48" s="29"/>
      <c r="C48" s="29"/>
      <c r="D48" s="29"/>
      <c r="E48" s="29"/>
      <c r="F48" s="29"/>
      <c r="G48" s="29"/>
      <c r="H48" s="29"/>
      <c r="I48" s="29"/>
      <c r="J48" s="29"/>
      <c r="K48" s="29"/>
      <c r="L48" s="60"/>
      <c r="M48" s="29"/>
      <c r="N48" s="6"/>
    </row>
    <row r="49" spans="1:14" ht="15.75">
      <c r="A49" s="7"/>
      <c r="B49" s="9"/>
      <c r="C49" s="9"/>
      <c r="D49" s="9"/>
      <c r="E49" s="9"/>
      <c r="F49" s="9"/>
      <c r="G49" s="9"/>
      <c r="H49" s="9"/>
      <c r="I49" s="9"/>
      <c r="J49" s="9"/>
      <c r="K49" s="9"/>
      <c r="L49" s="61"/>
      <c r="M49" s="9"/>
      <c r="N49" s="6"/>
    </row>
    <row r="50" spans="1:14" ht="16.5" thickBot="1">
      <c r="A50" s="144"/>
      <c r="B50" s="145" t="s">
        <v>195</v>
      </c>
      <c r="C50" s="146"/>
      <c r="D50" s="146"/>
      <c r="E50" s="146"/>
      <c r="F50" s="146"/>
      <c r="G50" s="146"/>
      <c r="H50" s="146"/>
      <c r="I50" s="146"/>
      <c r="J50" s="146"/>
      <c r="K50" s="146"/>
      <c r="L50" s="147"/>
      <c r="M50" s="148"/>
      <c r="N50" s="6"/>
    </row>
    <row r="51" spans="1:14" ht="15.75">
      <c r="A51" s="2"/>
      <c r="B51" s="5"/>
      <c r="C51" s="5"/>
      <c r="D51" s="5"/>
      <c r="E51" s="5"/>
      <c r="F51" s="5"/>
      <c r="G51" s="5"/>
      <c r="H51" s="5"/>
      <c r="I51" s="5"/>
      <c r="J51" s="5"/>
      <c r="K51" s="5"/>
      <c r="L51" s="62"/>
      <c r="M51" s="5"/>
      <c r="N51" s="6"/>
    </row>
    <row r="52" spans="1:14" ht="15.75">
      <c r="A52" s="7"/>
      <c r="B52" s="63" t="s">
        <v>36</v>
      </c>
      <c r="C52" s="15"/>
      <c r="D52" s="9"/>
      <c r="E52" s="9"/>
      <c r="F52" s="9"/>
      <c r="G52" s="9"/>
      <c r="H52" s="9"/>
      <c r="I52" s="9"/>
      <c r="J52" s="9"/>
      <c r="K52" s="9"/>
      <c r="L52" s="64"/>
      <c r="M52" s="9"/>
      <c r="N52" s="6"/>
    </row>
    <row r="53" spans="1:14" ht="15.75">
      <c r="A53" s="7"/>
      <c r="B53" s="15"/>
      <c r="C53" s="15"/>
      <c r="D53" s="9"/>
      <c r="E53" s="9"/>
      <c r="F53" s="9"/>
      <c r="G53" s="9"/>
      <c r="H53" s="9"/>
      <c r="I53" s="9"/>
      <c r="J53" s="9"/>
      <c r="K53" s="9"/>
      <c r="L53" s="64"/>
      <c r="M53" s="9"/>
      <c r="N53" s="6"/>
    </row>
    <row r="54" spans="1:14" s="176" customFormat="1" ht="47.25">
      <c r="A54" s="170"/>
      <c r="B54" s="171"/>
      <c r="C54" s="172" t="s">
        <v>139</v>
      </c>
      <c r="D54" s="172" t="s">
        <v>149</v>
      </c>
      <c r="E54" s="172"/>
      <c r="F54" s="172" t="s">
        <v>164</v>
      </c>
      <c r="G54" s="172"/>
      <c r="H54" s="172" t="s">
        <v>175</v>
      </c>
      <c r="I54" s="172"/>
      <c r="J54" s="172" t="s">
        <v>178</v>
      </c>
      <c r="K54" s="172"/>
      <c r="L54" s="173" t="s">
        <v>189</v>
      </c>
      <c r="M54" s="174"/>
      <c r="N54" s="175"/>
    </row>
    <row r="55" spans="1:14" ht="15.75">
      <c r="A55" s="28"/>
      <c r="B55" s="29" t="s">
        <v>37</v>
      </c>
      <c r="C55" s="66">
        <f>81776+9633</f>
        <v>91409</v>
      </c>
      <c r="D55" s="66">
        <v>80284</v>
      </c>
      <c r="E55" s="66"/>
      <c r="F55" s="66">
        <f>1422+5548+126+263</f>
        <v>7359</v>
      </c>
      <c r="G55" s="66"/>
      <c r="H55" s="66">
        <f>8706-1</f>
        <v>8705</v>
      </c>
      <c r="I55" s="66"/>
      <c r="J55" s="66">
        <v>0</v>
      </c>
      <c r="K55" s="66"/>
      <c r="L55" s="67">
        <f>D55-F55+H55-J55</f>
        <v>81630</v>
      </c>
      <c r="M55" s="29"/>
      <c r="N55" s="6"/>
    </row>
    <row r="56" spans="1:14" ht="15.75">
      <c r="A56" s="28"/>
      <c r="B56" s="29" t="s">
        <v>38</v>
      </c>
      <c r="C56" s="66">
        <v>1</v>
      </c>
      <c r="D56" s="66">
        <v>0</v>
      </c>
      <c r="E56" s="66"/>
      <c r="F56" s="66"/>
      <c r="G56" s="66"/>
      <c r="H56" s="66">
        <v>0</v>
      </c>
      <c r="I56" s="66"/>
      <c r="J56" s="66">
        <v>0</v>
      </c>
      <c r="K56" s="66"/>
      <c r="L56" s="67">
        <f>D56-F56</f>
        <v>0</v>
      </c>
      <c r="M56" s="29"/>
      <c r="N56" s="6"/>
    </row>
    <row r="57" spans="1:14" ht="15.75">
      <c r="A57" s="28"/>
      <c r="B57" s="29"/>
      <c r="C57" s="66"/>
      <c r="D57" s="66"/>
      <c r="E57" s="66"/>
      <c r="F57" s="66"/>
      <c r="G57" s="66"/>
      <c r="H57" s="66"/>
      <c r="I57" s="66"/>
      <c r="J57" s="66"/>
      <c r="K57" s="66"/>
      <c r="L57" s="67"/>
      <c r="M57" s="29"/>
      <c r="N57" s="6"/>
    </row>
    <row r="58" spans="1:14" ht="15.75">
      <c r="A58" s="28"/>
      <c r="B58" s="29" t="s">
        <v>39</v>
      </c>
      <c r="C58" s="66">
        <f>59449+801</f>
        <v>60250</v>
      </c>
      <c r="D58" s="66">
        <v>37387</v>
      </c>
      <c r="E58" s="66"/>
      <c r="F58" s="66">
        <v>12693</v>
      </c>
      <c r="G58" s="66"/>
      <c r="H58" s="66">
        <f>10163+71</f>
        <v>10234</v>
      </c>
      <c r="I58" s="66"/>
      <c r="J58" s="66">
        <f>SUM(J55:J57)</f>
        <v>0</v>
      </c>
      <c r="K58" s="66"/>
      <c r="L58" s="67">
        <f>D58-F58+H58-J58</f>
        <v>34928</v>
      </c>
      <c r="M58" s="29"/>
      <c r="N58" s="6"/>
    </row>
    <row r="59" spans="1:14" ht="15.75">
      <c r="A59" s="28"/>
      <c r="B59" s="29" t="s">
        <v>38</v>
      </c>
      <c r="C59" s="66">
        <v>136</v>
      </c>
      <c r="D59" s="66"/>
      <c r="E59" s="66"/>
      <c r="F59" s="66"/>
      <c r="G59" s="66"/>
      <c r="H59" s="66">
        <v>0</v>
      </c>
      <c r="I59" s="66"/>
      <c r="J59" s="66">
        <v>0</v>
      </c>
      <c r="K59" s="66"/>
      <c r="L59" s="68"/>
      <c r="M59" s="29"/>
      <c r="N59" s="6"/>
    </row>
    <row r="60" spans="1:14" ht="15.75">
      <c r="A60" s="28"/>
      <c r="B60" s="69"/>
      <c r="C60" s="66"/>
      <c r="D60" s="66"/>
      <c r="E60" s="66"/>
      <c r="F60" s="70"/>
      <c r="G60" s="66"/>
      <c r="H60" s="66"/>
      <c r="I60" s="66"/>
      <c r="J60" s="66"/>
      <c r="K60" s="66"/>
      <c r="L60" s="68"/>
      <c r="M60" s="29"/>
      <c r="N60" s="6"/>
    </row>
    <row r="61" spans="1:14" ht="15.75">
      <c r="A61" s="28"/>
      <c r="B61" s="29" t="s">
        <v>40</v>
      </c>
      <c r="C61" s="66">
        <v>25730</v>
      </c>
      <c r="D61" s="66">
        <v>64608</v>
      </c>
      <c r="E61" s="66"/>
      <c r="F61" s="66">
        <f>8699-1</f>
        <v>8698</v>
      </c>
      <c r="G61" s="66"/>
      <c r="H61" s="66">
        <v>0</v>
      </c>
      <c r="I61" s="66"/>
      <c r="J61" s="66">
        <v>0</v>
      </c>
      <c r="K61" s="66"/>
      <c r="L61" s="67">
        <f>D61-F61+H61-J61</f>
        <v>55910</v>
      </c>
      <c r="M61" s="29"/>
      <c r="N61" s="6"/>
    </row>
    <row r="62" spans="1:14" ht="15.75">
      <c r="A62" s="28"/>
      <c r="B62" s="29" t="s">
        <v>38</v>
      </c>
      <c r="C62" s="66">
        <v>260</v>
      </c>
      <c r="D62" s="67">
        <v>0</v>
      </c>
      <c r="E62" s="66"/>
      <c r="F62" s="66"/>
      <c r="G62" s="66"/>
      <c r="H62" s="66">
        <v>0</v>
      </c>
      <c r="I62" s="66"/>
      <c r="J62" s="66">
        <v>0</v>
      </c>
      <c r="K62" s="66"/>
      <c r="L62" s="67">
        <f>D62-F62+H62-J62</f>
        <v>0</v>
      </c>
      <c r="M62" s="29"/>
      <c r="N62" s="6"/>
    </row>
    <row r="63" spans="1:14" ht="15.75">
      <c r="A63" s="28"/>
      <c r="B63" s="29"/>
      <c r="C63" s="66"/>
      <c r="D63" s="67"/>
      <c r="E63" s="66"/>
      <c r="F63" s="66"/>
      <c r="G63" s="66"/>
      <c r="H63" s="66"/>
      <c r="I63" s="66"/>
      <c r="J63" s="66"/>
      <c r="K63" s="66"/>
      <c r="L63" s="67"/>
      <c r="M63" s="29"/>
      <c r="N63" s="6"/>
    </row>
    <row r="64" spans="1:14" ht="15.75">
      <c r="A64" s="28"/>
      <c r="B64" s="29" t="s">
        <v>41</v>
      </c>
      <c r="C64" s="66">
        <v>26410</v>
      </c>
      <c r="D64" s="67">
        <v>50091</v>
      </c>
      <c r="E64" s="66"/>
      <c r="F64" s="66">
        <f>6511+139</f>
        <v>6650</v>
      </c>
      <c r="G64" s="66"/>
      <c r="H64" s="66">
        <f>12617+1</f>
        <v>12618</v>
      </c>
      <c r="I64" s="66"/>
      <c r="J64" s="66">
        <v>0</v>
      </c>
      <c r="K64" s="66"/>
      <c r="L64" s="67">
        <f>D64-F64+H64-J64</f>
        <v>56059</v>
      </c>
      <c r="M64" s="29"/>
      <c r="N64" s="6"/>
    </row>
    <row r="65" spans="1:14" ht="15.75">
      <c r="A65" s="28"/>
      <c r="B65" s="29" t="s">
        <v>38</v>
      </c>
      <c r="C65" s="66">
        <v>229</v>
      </c>
      <c r="D65" s="67"/>
      <c r="E65" s="66"/>
      <c r="F65" s="66"/>
      <c r="G65" s="66"/>
      <c r="H65" s="66">
        <v>0</v>
      </c>
      <c r="I65" s="66"/>
      <c r="J65" s="66">
        <v>0</v>
      </c>
      <c r="K65" s="66"/>
      <c r="L65" s="67"/>
      <c r="M65" s="29"/>
      <c r="N65" s="6"/>
    </row>
    <row r="66" spans="1:14" ht="15.75">
      <c r="A66" s="28"/>
      <c r="B66" s="66"/>
      <c r="C66" s="66"/>
      <c r="D66" s="67"/>
      <c r="E66" s="66"/>
      <c r="F66" s="66"/>
      <c r="G66" s="66"/>
      <c r="H66" s="66"/>
      <c r="I66" s="66"/>
      <c r="J66" s="66"/>
      <c r="K66" s="66"/>
      <c r="L66" s="67"/>
      <c r="M66" s="29"/>
      <c r="N66" s="6"/>
    </row>
    <row r="67" spans="1:14" ht="15.75">
      <c r="A67" s="28"/>
      <c r="B67" s="29" t="s">
        <v>42</v>
      </c>
      <c r="C67" s="66">
        <f>SUM(C55:C65)</f>
        <v>204425</v>
      </c>
      <c r="D67" s="66">
        <f>SUM(D55:D64)</f>
        <v>232370</v>
      </c>
      <c r="E67" s="66"/>
      <c r="F67" s="66">
        <f>SUM(F55:F65)</f>
        <v>35400</v>
      </c>
      <c r="G67" s="66"/>
      <c r="H67" s="66">
        <f>SUM(H55:H65)</f>
        <v>31557</v>
      </c>
      <c r="I67" s="66"/>
      <c r="J67" s="66">
        <f>SUM(J62:J66)</f>
        <v>0</v>
      </c>
      <c r="K67" s="66"/>
      <c r="L67" s="66">
        <f>SUM(L55:L66)</f>
        <v>228527</v>
      </c>
      <c r="M67" s="29"/>
      <c r="N67" s="6"/>
    </row>
    <row r="68" spans="1:14" ht="15.75">
      <c r="A68" s="28"/>
      <c r="B68" s="29"/>
      <c r="C68" s="66"/>
      <c r="D68" s="68"/>
      <c r="E68" s="66"/>
      <c r="F68" s="66"/>
      <c r="G68" s="66"/>
      <c r="H68" s="66"/>
      <c r="I68" s="66"/>
      <c r="J68" s="66"/>
      <c r="K68" s="66"/>
      <c r="L68" s="68"/>
      <c r="M68" s="29"/>
      <c r="N68" s="6"/>
    </row>
    <row r="69" spans="1:14" ht="15.75">
      <c r="A69" s="28"/>
      <c r="B69" s="29" t="s">
        <v>43</v>
      </c>
      <c r="C69" s="66">
        <f>-1789-10434</f>
        <v>-12223</v>
      </c>
      <c r="D69" s="66">
        <v>-21612</v>
      </c>
      <c r="E69" s="66"/>
      <c r="F69" s="66">
        <f>16+3+1529+156</f>
        <v>1704</v>
      </c>
      <c r="G69" s="66"/>
      <c r="H69" s="66"/>
      <c r="I69" s="66"/>
      <c r="J69" s="66"/>
      <c r="K69" s="66"/>
      <c r="L69" s="66">
        <f>D69-F69</f>
        <v>-23316</v>
      </c>
      <c r="M69" s="29"/>
      <c r="N69" s="6"/>
    </row>
    <row r="70" spans="1:14" ht="15.75">
      <c r="A70" s="28"/>
      <c r="B70" s="29" t="s">
        <v>44</v>
      </c>
      <c r="C70" s="66">
        <v>58798</v>
      </c>
      <c r="D70" s="68">
        <v>40242</v>
      </c>
      <c r="E70" s="66"/>
      <c r="F70" s="66">
        <f>SUM(F67:F69)</f>
        <v>37104</v>
      </c>
      <c r="G70" s="66"/>
      <c r="H70" s="66">
        <f>-H67</f>
        <v>-31557</v>
      </c>
      <c r="I70" s="66"/>
      <c r="J70" s="66"/>
      <c r="K70" s="66"/>
      <c r="L70" s="68">
        <f>D70+F70+H70+D73</f>
        <v>45789</v>
      </c>
      <c r="M70" s="29"/>
      <c r="N70" s="6"/>
    </row>
    <row r="71" spans="1:14" ht="15.75">
      <c r="A71" s="28"/>
      <c r="B71" s="29" t="s">
        <v>45</v>
      </c>
      <c r="C71" s="66">
        <v>0</v>
      </c>
      <c r="D71" s="68">
        <v>0</v>
      </c>
      <c r="E71" s="66"/>
      <c r="F71" s="66"/>
      <c r="G71" s="66"/>
      <c r="H71" s="66">
        <v>0</v>
      </c>
      <c r="I71" s="66"/>
      <c r="J71" s="66"/>
      <c r="K71" s="66"/>
      <c r="L71" s="68">
        <f>H71+D71</f>
        <v>0</v>
      </c>
      <c r="M71" s="29"/>
      <c r="N71" s="6"/>
    </row>
    <row r="72" spans="1:14" ht="15.75">
      <c r="A72" s="28"/>
      <c r="B72" s="29" t="s">
        <v>46</v>
      </c>
      <c r="C72" s="66">
        <v>0</v>
      </c>
      <c r="D72" s="68">
        <v>0</v>
      </c>
      <c r="E72" s="66"/>
      <c r="F72" s="66">
        <v>0</v>
      </c>
      <c r="G72" s="66"/>
      <c r="H72" s="66"/>
      <c r="I72" s="66"/>
      <c r="J72" s="66"/>
      <c r="K72" s="66"/>
      <c r="L72" s="68">
        <f>D72+F72+H72</f>
        <v>0</v>
      </c>
      <c r="M72" s="29"/>
      <c r="N72" s="6"/>
    </row>
    <row r="73" spans="1:14" ht="15.75">
      <c r="A73" s="28"/>
      <c r="B73" s="29" t="s">
        <v>47</v>
      </c>
      <c r="C73" s="66">
        <v>0</v>
      </c>
      <c r="D73" s="68">
        <v>0</v>
      </c>
      <c r="E73" s="66"/>
      <c r="F73" s="66"/>
      <c r="G73" s="66"/>
      <c r="H73" s="71"/>
      <c r="I73" s="66"/>
      <c r="J73" s="66"/>
      <c r="K73" s="66"/>
      <c r="L73" s="68">
        <v>0</v>
      </c>
      <c r="M73" s="29"/>
      <c r="N73" s="6"/>
    </row>
    <row r="74" spans="1:14" ht="15.75">
      <c r="A74" s="28"/>
      <c r="B74" s="29" t="s">
        <v>19</v>
      </c>
      <c r="C74" s="68">
        <f>SUM(C67:C73)</f>
        <v>251000</v>
      </c>
      <c r="D74" s="68">
        <f>SUM(D67:D73)</f>
        <v>251000</v>
      </c>
      <c r="E74" s="66"/>
      <c r="F74" s="66">
        <f>F70-F73-F72</f>
        <v>37104</v>
      </c>
      <c r="G74" s="66"/>
      <c r="H74" s="66"/>
      <c r="I74" s="66"/>
      <c r="J74" s="66"/>
      <c r="K74" s="66"/>
      <c r="L74" s="68">
        <f>SUM(L67:L73)</f>
        <v>251000</v>
      </c>
      <c r="M74" s="29"/>
      <c r="N74" s="6"/>
    </row>
    <row r="75" spans="1:14" ht="15.75">
      <c r="A75" s="28"/>
      <c r="B75" s="66"/>
      <c r="C75" s="29"/>
      <c r="D75" s="29"/>
      <c r="E75" s="29"/>
      <c r="F75" s="29"/>
      <c r="G75" s="29"/>
      <c r="H75" s="29"/>
      <c r="I75" s="29"/>
      <c r="J75" s="36"/>
      <c r="K75" s="29"/>
      <c r="L75" s="36"/>
      <c r="M75" s="29"/>
      <c r="N75" s="6"/>
    </row>
    <row r="76" spans="1:14" ht="15.75">
      <c r="A76" s="7"/>
      <c r="B76" s="63" t="s">
        <v>48</v>
      </c>
      <c r="C76" s="16"/>
      <c r="D76" s="16"/>
      <c r="E76" s="16"/>
      <c r="F76" s="16"/>
      <c r="G76" s="16"/>
      <c r="H76" s="16"/>
      <c r="I76" s="19"/>
      <c r="J76" s="19"/>
      <c r="K76" s="19"/>
      <c r="L76" s="19" t="s">
        <v>190</v>
      </c>
      <c r="M76" s="16"/>
      <c r="N76" s="6"/>
    </row>
    <row r="77" spans="1:14" ht="15.75">
      <c r="A77" s="28"/>
      <c r="B77" s="29" t="s">
        <v>49</v>
      </c>
      <c r="C77" s="29"/>
      <c r="D77" s="29"/>
      <c r="E77" s="29"/>
      <c r="F77" s="29"/>
      <c r="G77" s="29"/>
      <c r="H77" s="29"/>
      <c r="I77" s="29"/>
      <c r="J77" s="66"/>
      <c r="K77" s="29"/>
      <c r="L77" s="67">
        <f>60904+44+12</f>
        <v>60960</v>
      </c>
      <c r="M77" s="29"/>
      <c r="N77" s="6"/>
    </row>
    <row r="78" spans="1:14" ht="15.75">
      <c r="A78" s="28"/>
      <c r="B78" s="29" t="s">
        <v>50</v>
      </c>
      <c r="C78" s="53"/>
      <c r="D78" s="57"/>
      <c r="E78" s="29"/>
      <c r="F78" s="29"/>
      <c r="G78" s="29"/>
      <c r="H78" s="29"/>
      <c r="I78" s="29"/>
      <c r="J78" s="66"/>
      <c r="K78" s="29"/>
      <c r="L78" s="67">
        <f>888+187+175</f>
        <v>1250</v>
      </c>
      <c r="M78" s="29"/>
      <c r="N78" s="6"/>
    </row>
    <row r="79" spans="1:14" ht="15.75">
      <c r="A79" s="28"/>
      <c r="B79" s="29" t="s">
        <v>51</v>
      </c>
      <c r="C79" s="53"/>
      <c r="D79" s="57"/>
      <c r="E79" s="29"/>
      <c r="F79" s="29"/>
      <c r="G79" s="29"/>
      <c r="H79" s="29"/>
      <c r="I79" s="29"/>
      <c r="J79" s="66"/>
      <c r="K79" s="29"/>
      <c r="L79" s="67">
        <v>-10793</v>
      </c>
      <c r="M79" s="29"/>
      <c r="N79" s="6"/>
    </row>
    <row r="80" spans="1:14" ht="15.75">
      <c r="A80" s="28"/>
      <c r="B80" s="29" t="s">
        <v>192</v>
      </c>
      <c r="C80" s="53"/>
      <c r="D80" s="57"/>
      <c r="E80" s="29"/>
      <c r="F80" s="29"/>
      <c r="G80" s="29"/>
      <c r="H80" s="29"/>
      <c r="I80" s="29"/>
      <c r="J80" s="66"/>
      <c r="K80" s="29"/>
      <c r="L80" s="67">
        <v>-7</v>
      </c>
      <c r="M80" s="29"/>
      <c r="N80" s="6"/>
    </row>
    <row r="81" spans="1:14" ht="15.75">
      <c r="A81" s="28"/>
      <c r="B81" s="29" t="s">
        <v>52</v>
      </c>
      <c r="C81" s="29"/>
      <c r="D81" s="29"/>
      <c r="E81" s="29"/>
      <c r="F81" s="29"/>
      <c r="G81" s="29"/>
      <c r="H81" s="29"/>
      <c r="I81" s="29"/>
      <c r="J81" s="66"/>
      <c r="K81" s="29"/>
      <c r="L81" s="67">
        <v>0</v>
      </c>
      <c r="M81" s="29"/>
      <c r="N81" s="6"/>
    </row>
    <row r="82" spans="1:14" ht="15.75">
      <c r="A82" s="28"/>
      <c r="B82" s="29" t="s">
        <v>53</v>
      </c>
      <c r="C82" s="29"/>
      <c r="D82" s="29"/>
      <c r="E82" s="29"/>
      <c r="F82" s="29"/>
      <c r="G82" s="29"/>
      <c r="H82" s="29"/>
      <c r="I82" s="29"/>
      <c r="J82" s="66"/>
      <c r="K82" s="29"/>
      <c r="L82" s="67">
        <f>SUM(L77:L81)</f>
        <v>51410</v>
      </c>
      <c r="M82" s="29"/>
      <c r="N82" s="6"/>
    </row>
    <row r="83" spans="1:14" ht="15.75">
      <c r="A83" s="28"/>
      <c r="B83" s="29"/>
      <c r="C83" s="29"/>
      <c r="D83" s="29"/>
      <c r="E83" s="29"/>
      <c r="F83" s="29"/>
      <c r="G83" s="29"/>
      <c r="H83" s="29"/>
      <c r="I83" s="29"/>
      <c r="J83" s="66"/>
      <c r="K83" s="29"/>
      <c r="L83" s="68"/>
      <c r="M83" s="29"/>
      <c r="N83" s="6"/>
    </row>
    <row r="84" spans="1:14" ht="15.75">
      <c r="A84" s="28"/>
      <c r="B84" s="164" t="s">
        <v>54</v>
      </c>
      <c r="C84" s="73"/>
      <c r="D84" s="29"/>
      <c r="E84" s="29"/>
      <c r="F84" s="29"/>
      <c r="G84" s="29"/>
      <c r="H84" s="29"/>
      <c r="I84" s="29"/>
      <c r="J84" s="66"/>
      <c r="K84" s="29"/>
      <c r="L84" s="67"/>
      <c r="M84" s="29"/>
      <c r="N84" s="6"/>
    </row>
    <row r="85" spans="1:14" ht="15.75">
      <c r="A85" s="28">
        <v>1</v>
      </c>
      <c r="B85" s="29" t="s">
        <v>55</v>
      </c>
      <c r="C85" s="29"/>
      <c r="D85" s="29"/>
      <c r="E85" s="29"/>
      <c r="F85" s="29"/>
      <c r="G85" s="29"/>
      <c r="H85" s="29"/>
      <c r="I85" s="29"/>
      <c r="J85" s="29"/>
      <c r="K85" s="29"/>
      <c r="L85" s="67">
        <v>-5</v>
      </c>
      <c r="M85" s="29"/>
      <c r="N85" s="6"/>
    </row>
    <row r="86" spans="1:14" ht="15.75">
      <c r="A86" s="28">
        <f aca="true" t="shared" si="0" ref="A86:A94">A85+1</f>
        <v>2</v>
      </c>
      <c r="B86" s="29" t="s">
        <v>56</v>
      </c>
      <c r="C86" s="29"/>
      <c r="D86" s="29"/>
      <c r="E86" s="29"/>
      <c r="F86" s="29"/>
      <c r="G86" s="29"/>
      <c r="H86" s="29"/>
      <c r="I86" s="29"/>
      <c r="J86" s="29"/>
      <c r="K86" s="29"/>
      <c r="L86" s="67">
        <f>-411-60</f>
        <v>-471</v>
      </c>
      <c r="M86" s="29"/>
      <c r="N86" s="6"/>
    </row>
    <row r="87" spans="1:14" ht="15.75">
      <c r="A87" s="28">
        <f t="shared" si="0"/>
        <v>3</v>
      </c>
      <c r="B87" s="29" t="s">
        <v>57</v>
      </c>
      <c r="C87" s="29"/>
      <c r="D87" s="29"/>
      <c r="E87" s="29"/>
      <c r="F87" s="29"/>
      <c r="G87" s="29"/>
      <c r="H87" s="29"/>
      <c r="I87" s="29"/>
      <c r="J87" s="29"/>
      <c r="K87" s="29"/>
      <c r="L87" s="67">
        <v>-452</v>
      </c>
      <c r="M87" s="29"/>
      <c r="N87" s="6"/>
    </row>
    <row r="88" spans="1:14" ht="15.75">
      <c r="A88" s="28">
        <f t="shared" si="0"/>
        <v>4</v>
      </c>
      <c r="B88" s="29" t="s">
        <v>58</v>
      </c>
      <c r="C88" s="29"/>
      <c r="D88" s="29"/>
      <c r="E88" s="29"/>
      <c r="F88" s="29"/>
      <c r="G88" s="29"/>
      <c r="H88" s="29"/>
      <c r="I88" s="29"/>
      <c r="J88" s="29"/>
      <c r="K88" s="29"/>
      <c r="L88" s="67">
        <v>-1989</v>
      </c>
      <c r="M88" s="29"/>
      <c r="N88" s="6"/>
    </row>
    <row r="89" spans="1:14" ht="15.75">
      <c r="A89" s="28">
        <f t="shared" si="0"/>
        <v>5</v>
      </c>
      <c r="B89" s="29" t="s">
        <v>59</v>
      </c>
      <c r="C89" s="29"/>
      <c r="D89" s="29"/>
      <c r="E89" s="29"/>
      <c r="F89" s="29"/>
      <c r="G89" s="29"/>
      <c r="H89" s="29"/>
      <c r="I89" s="29"/>
      <c r="J89" s="29"/>
      <c r="K89" s="29"/>
      <c r="L89" s="67">
        <v>-5</v>
      </c>
      <c r="M89" s="29"/>
      <c r="N89" s="6"/>
    </row>
    <row r="90" spans="1:14" ht="15.75">
      <c r="A90" s="28">
        <f t="shared" si="0"/>
        <v>6</v>
      </c>
      <c r="B90" s="29" t="s">
        <v>60</v>
      </c>
      <c r="C90" s="29"/>
      <c r="D90" s="29"/>
      <c r="E90" s="29"/>
      <c r="F90" s="29"/>
      <c r="G90" s="29"/>
      <c r="H90" s="29"/>
      <c r="I90" s="29"/>
      <c r="J90" s="29"/>
      <c r="K90" s="29"/>
      <c r="L90" s="67">
        <v>-646</v>
      </c>
      <c r="M90" s="29"/>
      <c r="N90" s="6"/>
    </row>
    <row r="91" spans="1:14" ht="15.75">
      <c r="A91" s="28">
        <f t="shared" si="0"/>
        <v>7</v>
      </c>
      <c r="B91" s="29" t="s">
        <v>61</v>
      </c>
      <c r="C91" s="29"/>
      <c r="D91" s="29"/>
      <c r="E91" s="29"/>
      <c r="F91" s="29"/>
      <c r="G91" s="29"/>
      <c r="H91" s="29"/>
      <c r="I91" s="29"/>
      <c r="J91" s="29"/>
      <c r="K91" s="29"/>
      <c r="L91" s="67">
        <v>-342</v>
      </c>
      <c r="M91" s="29"/>
      <c r="N91" s="6"/>
    </row>
    <row r="92" spans="1:14" ht="15.75">
      <c r="A92" s="28">
        <f t="shared" si="0"/>
        <v>8</v>
      </c>
      <c r="B92" s="29" t="s">
        <v>62</v>
      </c>
      <c r="C92" s="29"/>
      <c r="D92" s="29"/>
      <c r="E92" s="29"/>
      <c r="F92" s="29"/>
      <c r="G92" s="29"/>
      <c r="H92" s="29"/>
      <c r="I92" s="29"/>
      <c r="J92" s="29"/>
      <c r="K92" s="29"/>
      <c r="L92" s="67">
        <v>0</v>
      </c>
      <c r="M92" s="29"/>
      <c r="N92" s="6"/>
    </row>
    <row r="93" spans="1:14" ht="15.75">
      <c r="A93" s="28">
        <f t="shared" si="0"/>
        <v>9</v>
      </c>
      <c r="B93" s="29" t="s">
        <v>44</v>
      </c>
      <c r="C93" s="29"/>
      <c r="D93" s="29"/>
      <c r="E93" s="29"/>
      <c r="F93" s="29"/>
      <c r="G93" s="29"/>
      <c r="H93" s="29"/>
      <c r="I93" s="29"/>
      <c r="J93" s="66"/>
      <c r="K93" s="29"/>
      <c r="L93" s="67">
        <f>L82+SUM(L85:L91)-L94</f>
        <v>45792</v>
      </c>
      <c r="M93" s="29"/>
      <c r="N93" s="6"/>
    </row>
    <row r="94" spans="1:15" ht="15.75">
      <c r="A94" s="28">
        <f t="shared" si="0"/>
        <v>10</v>
      </c>
      <c r="B94" s="29" t="s">
        <v>63</v>
      </c>
      <c r="C94" s="29"/>
      <c r="D94" s="29"/>
      <c r="E94" s="29"/>
      <c r="F94" s="29"/>
      <c r="G94" s="29"/>
      <c r="H94" s="29"/>
      <c r="I94" s="29"/>
      <c r="J94" s="29"/>
      <c r="K94" s="29"/>
      <c r="L94" s="67">
        <f>J195+SUM(L82:L91)+J197-J200</f>
        <v>1708</v>
      </c>
      <c r="M94" s="29"/>
      <c r="N94" s="6"/>
      <c r="O94" s="72"/>
    </row>
    <row r="95" spans="1:14" ht="15.75">
      <c r="A95" s="28"/>
      <c r="B95" s="32"/>
      <c r="C95" s="29"/>
      <c r="D95" s="29"/>
      <c r="E95" s="29"/>
      <c r="F95" s="29"/>
      <c r="G95" s="29"/>
      <c r="H95" s="29"/>
      <c r="I95" s="29"/>
      <c r="J95" s="66"/>
      <c r="K95" s="66"/>
      <c r="L95" s="66"/>
      <c r="M95" s="29"/>
      <c r="N95" s="6"/>
    </row>
    <row r="96" spans="1:14" ht="15.75">
      <c r="A96" s="7"/>
      <c r="B96" s="14"/>
      <c r="C96" s="9"/>
      <c r="D96" s="9"/>
      <c r="E96" s="9"/>
      <c r="F96" s="9"/>
      <c r="G96" s="9"/>
      <c r="H96" s="9"/>
      <c r="I96" s="9"/>
      <c r="J96" s="74"/>
      <c r="K96" s="74"/>
      <c r="L96" s="74"/>
      <c r="M96" s="9"/>
      <c r="N96" s="6"/>
    </row>
    <row r="97" spans="1:14" ht="16.5" thickBot="1">
      <c r="A97" s="144"/>
      <c r="B97" s="145" t="str">
        <f>B50</f>
        <v>PPAF1 INVESTOR REPORT QUARTER ENDING AUGUST 2002</v>
      </c>
      <c r="C97" s="146"/>
      <c r="D97" s="146"/>
      <c r="E97" s="146"/>
      <c r="F97" s="146"/>
      <c r="G97" s="146"/>
      <c r="H97" s="146"/>
      <c r="I97" s="146"/>
      <c r="J97" s="149"/>
      <c r="K97" s="149"/>
      <c r="L97" s="149"/>
      <c r="M97" s="148"/>
      <c r="N97" s="6"/>
    </row>
    <row r="98" spans="1:14" ht="15.75">
      <c r="A98" s="2"/>
      <c r="B98" s="5"/>
      <c r="C98" s="5"/>
      <c r="D98" s="5"/>
      <c r="E98" s="5"/>
      <c r="F98" s="5"/>
      <c r="G98" s="5"/>
      <c r="H98" s="5"/>
      <c r="I98" s="5"/>
      <c r="J98" s="75"/>
      <c r="K98" s="75"/>
      <c r="L98" s="75"/>
      <c r="M98" s="5"/>
      <c r="N98" s="6"/>
    </row>
    <row r="99" spans="1:14" ht="15.75">
      <c r="A99" s="76"/>
      <c r="B99" s="77" t="s">
        <v>64</v>
      </c>
      <c r="C99" s="78"/>
      <c r="D99" s="78"/>
      <c r="E99" s="78"/>
      <c r="F99" s="78"/>
      <c r="G99" s="78"/>
      <c r="H99" s="78"/>
      <c r="I99" s="78"/>
      <c r="J99" s="78"/>
      <c r="K99" s="78"/>
      <c r="L99" s="79"/>
      <c r="M99" s="80"/>
      <c r="N99" s="6"/>
    </row>
    <row r="100" spans="1:14" ht="15.75">
      <c r="A100" s="76"/>
      <c r="B100" s="78"/>
      <c r="C100" s="78"/>
      <c r="D100" s="78"/>
      <c r="E100" s="78"/>
      <c r="F100" s="78"/>
      <c r="G100" s="78"/>
      <c r="H100" s="78"/>
      <c r="I100" s="78"/>
      <c r="J100" s="78"/>
      <c r="K100" s="78"/>
      <c r="L100" s="79"/>
      <c r="M100" s="78"/>
      <c r="N100" s="6"/>
    </row>
    <row r="101" spans="1:14" ht="15.75">
      <c r="A101" s="7"/>
      <c r="B101" s="165" t="s">
        <v>65</v>
      </c>
      <c r="C101" s="15"/>
      <c r="D101" s="9"/>
      <c r="E101" s="9"/>
      <c r="F101" s="9"/>
      <c r="G101" s="9"/>
      <c r="H101" s="9"/>
      <c r="I101" s="9"/>
      <c r="J101" s="9"/>
      <c r="K101" s="9"/>
      <c r="L101" s="64"/>
      <c r="M101" s="9"/>
      <c r="N101" s="6"/>
    </row>
    <row r="102" spans="1:14" ht="15.75">
      <c r="A102" s="28"/>
      <c r="B102" s="29" t="s">
        <v>66</v>
      </c>
      <c r="C102" s="29"/>
      <c r="D102" s="29"/>
      <c r="E102" s="29"/>
      <c r="F102" s="29"/>
      <c r="G102" s="29"/>
      <c r="H102" s="29"/>
      <c r="I102" s="29"/>
      <c r="J102" s="29"/>
      <c r="K102" s="29"/>
      <c r="L102" s="67">
        <f>10793+400</f>
        <v>11193</v>
      </c>
      <c r="M102" s="29"/>
      <c r="N102" s="6"/>
    </row>
    <row r="103" spans="1:14" ht="15.75">
      <c r="A103" s="28"/>
      <c r="B103" s="29" t="s">
        <v>67</v>
      </c>
      <c r="C103" s="29"/>
      <c r="D103" s="29"/>
      <c r="E103" s="29"/>
      <c r="F103" s="29"/>
      <c r="G103" s="29"/>
      <c r="H103" s="29"/>
      <c r="I103" s="29"/>
      <c r="J103" s="29"/>
      <c r="K103" s="29"/>
      <c r="L103" s="67">
        <v>10793</v>
      </c>
      <c r="M103" s="29"/>
      <c r="N103" s="6"/>
    </row>
    <row r="104" spans="1:14" ht="15.75">
      <c r="A104" s="28"/>
      <c r="B104" s="29" t="s">
        <v>68</v>
      </c>
      <c r="C104" s="29"/>
      <c r="D104" s="29"/>
      <c r="E104" s="29"/>
      <c r="F104" s="29"/>
      <c r="G104" s="29"/>
      <c r="H104" s="29"/>
      <c r="I104" s="29"/>
      <c r="J104" s="29"/>
      <c r="K104" s="29"/>
      <c r="L104" s="67">
        <v>0</v>
      </c>
      <c r="M104" s="29"/>
      <c r="N104" s="6"/>
    </row>
    <row r="105" spans="1:14" ht="15.75">
      <c r="A105" s="28"/>
      <c r="B105" s="29" t="s">
        <v>69</v>
      </c>
      <c r="C105" s="29"/>
      <c r="D105" s="29"/>
      <c r="E105" s="29"/>
      <c r="F105" s="29"/>
      <c r="G105" s="29"/>
      <c r="H105" s="29"/>
      <c r="I105" s="29"/>
      <c r="J105" s="29"/>
      <c r="K105" s="29"/>
      <c r="L105" s="67">
        <v>0</v>
      </c>
      <c r="M105" s="29"/>
      <c r="N105" s="6"/>
    </row>
    <row r="106" spans="1:14" ht="15.75">
      <c r="A106" s="28"/>
      <c r="B106" s="29" t="s">
        <v>70</v>
      </c>
      <c r="C106" s="29"/>
      <c r="D106" s="29"/>
      <c r="E106" s="29"/>
      <c r="F106" s="29"/>
      <c r="G106" s="29"/>
      <c r="H106" s="29"/>
      <c r="I106" s="29"/>
      <c r="J106" s="29"/>
      <c r="K106" s="29"/>
      <c r="L106" s="67">
        <v>0</v>
      </c>
      <c r="M106" s="29"/>
      <c r="N106" s="6"/>
    </row>
    <row r="107" spans="1:14" ht="15.75">
      <c r="A107" s="28"/>
      <c r="B107" s="29" t="s">
        <v>58</v>
      </c>
      <c r="C107" s="29"/>
      <c r="D107" s="29"/>
      <c r="E107" s="29"/>
      <c r="F107" s="29"/>
      <c r="G107" s="29"/>
      <c r="H107" s="29"/>
      <c r="I107" s="29"/>
      <c r="J107" s="29"/>
      <c r="K107" s="29"/>
      <c r="L107" s="67">
        <v>0</v>
      </c>
      <c r="M107" s="29"/>
      <c r="N107" s="6"/>
    </row>
    <row r="108" spans="1:14" ht="15.75">
      <c r="A108" s="28"/>
      <c r="B108" s="29" t="s">
        <v>60</v>
      </c>
      <c r="C108" s="29"/>
      <c r="D108" s="29"/>
      <c r="E108" s="29"/>
      <c r="F108" s="29"/>
      <c r="G108" s="29"/>
      <c r="H108" s="29"/>
      <c r="I108" s="29"/>
      <c r="J108" s="29"/>
      <c r="K108" s="29"/>
      <c r="L108" s="67">
        <v>0</v>
      </c>
      <c r="M108" s="29"/>
      <c r="N108" s="6"/>
    </row>
    <row r="109" spans="1:14" ht="15.75">
      <c r="A109" s="28"/>
      <c r="B109" s="29" t="s">
        <v>61</v>
      </c>
      <c r="C109" s="29"/>
      <c r="D109" s="29"/>
      <c r="E109" s="29"/>
      <c r="F109" s="29"/>
      <c r="G109" s="29"/>
      <c r="H109" s="29"/>
      <c r="I109" s="29"/>
      <c r="J109" s="29"/>
      <c r="K109" s="29"/>
      <c r="L109" s="67">
        <v>0</v>
      </c>
      <c r="M109" s="29"/>
      <c r="N109" s="6"/>
    </row>
    <row r="110" spans="1:14" ht="15.75">
      <c r="A110" s="28"/>
      <c r="B110" s="29" t="s">
        <v>71</v>
      </c>
      <c r="C110" s="29"/>
      <c r="D110" s="29"/>
      <c r="E110" s="29"/>
      <c r="F110" s="29"/>
      <c r="G110" s="29"/>
      <c r="H110" s="29"/>
      <c r="I110" s="29"/>
      <c r="J110" s="29"/>
      <c r="K110" s="29"/>
      <c r="L110" s="67">
        <f>L103</f>
        <v>10793</v>
      </c>
      <c r="M110" s="29"/>
      <c r="N110" s="6"/>
    </row>
    <row r="111" spans="1:14" ht="15.75">
      <c r="A111" s="28"/>
      <c r="B111" s="29"/>
      <c r="C111" s="29"/>
      <c r="D111" s="29"/>
      <c r="E111" s="29"/>
      <c r="F111" s="29"/>
      <c r="G111" s="29"/>
      <c r="H111" s="29"/>
      <c r="I111" s="29"/>
      <c r="J111" s="29"/>
      <c r="K111" s="29"/>
      <c r="L111" s="81"/>
      <c r="M111" s="29"/>
      <c r="N111" s="6"/>
    </row>
    <row r="112" spans="1:14" ht="15.75">
      <c r="A112" s="7"/>
      <c r="B112" s="165" t="s">
        <v>72</v>
      </c>
      <c r="C112" s="15"/>
      <c r="D112" s="9"/>
      <c r="E112" s="9"/>
      <c r="F112" s="9"/>
      <c r="G112" s="82"/>
      <c r="H112" s="9"/>
      <c r="I112" s="9"/>
      <c r="J112" s="9"/>
      <c r="K112" s="9"/>
      <c r="L112" s="83"/>
      <c r="M112" s="9"/>
      <c r="N112" s="6"/>
    </row>
    <row r="113" spans="1:14" ht="15.75">
      <c r="A113" s="7"/>
      <c r="B113" s="15"/>
      <c r="C113" s="19" t="s">
        <v>140</v>
      </c>
      <c r="D113" s="19" t="s">
        <v>150</v>
      </c>
      <c r="E113" s="19" t="s">
        <v>156</v>
      </c>
      <c r="F113" s="19" t="s">
        <v>165</v>
      </c>
      <c r="G113" s="82"/>
      <c r="H113" s="82"/>
      <c r="I113" s="9"/>
      <c r="J113" s="9"/>
      <c r="K113" s="9"/>
      <c r="L113" s="83"/>
      <c r="M113" s="9"/>
      <c r="N113" s="6"/>
    </row>
    <row r="114" spans="1:14" ht="15.75">
      <c r="A114" s="28"/>
      <c r="B114" s="29" t="s">
        <v>73</v>
      </c>
      <c r="C114" s="29">
        <v>1529</v>
      </c>
      <c r="D114" s="29">
        <v>156</v>
      </c>
      <c r="E114" s="29">
        <v>16</v>
      </c>
      <c r="F114" s="29">
        <v>3</v>
      </c>
      <c r="G114" s="84"/>
      <c r="H114" s="84"/>
      <c r="I114" s="29"/>
      <c r="J114" s="29"/>
      <c r="K114" s="29"/>
      <c r="L114" s="67">
        <f>SUM(C114:F114)</f>
        <v>1704</v>
      </c>
      <c r="M114" s="29"/>
      <c r="N114" s="6"/>
    </row>
    <row r="115" spans="1:14" ht="15.75">
      <c r="A115" s="28"/>
      <c r="B115" s="29" t="s">
        <v>74</v>
      </c>
      <c r="C115" s="29">
        <v>126</v>
      </c>
      <c r="D115" s="29">
        <v>0</v>
      </c>
      <c r="E115" s="29">
        <v>0</v>
      </c>
      <c r="F115" s="29">
        <v>139</v>
      </c>
      <c r="G115" s="84"/>
      <c r="H115" s="84"/>
      <c r="I115" s="29"/>
      <c r="J115" s="29"/>
      <c r="K115" s="29"/>
      <c r="L115" s="67">
        <f>SUM(C115:F115)</f>
        <v>265</v>
      </c>
      <c r="M115" s="29"/>
      <c r="N115" s="6"/>
    </row>
    <row r="116" spans="1:14" ht="15.75">
      <c r="A116" s="28"/>
      <c r="B116" s="29" t="s">
        <v>75</v>
      </c>
      <c r="C116" s="29"/>
      <c r="D116" s="29"/>
      <c r="E116" s="29"/>
      <c r="F116" s="29"/>
      <c r="G116" s="29"/>
      <c r="H116" s="29"/>
      <c r="I116" s="29"/>
      <c r="J116" s="29"/>
      <c r="K116" s="29"/>
      <c r="L116" s="67">
        <f>SUM(L114:L115)</f>
        <v>1969</v>
      </c>
      <c r="M116" s="29"/>
      <c r="N116" s="6"/>
    </row>
    <row r="117" spans="1:14" ht="15.75">
      <c r="A117" s="28"/>
      <c r="B117" s="29" t="s">
        <v>76</v>
      </c>
      <c r="C117" s="66">
        <v>263</v>
      </c>
      <c r="D117" s="29"/>
      <c r="E117" s="29"/>
      <c r="F117" s="29"/>
      <c r="G117" s="29"/>
      <c r="H117" s="29"/>
      <c r="I117" s="29"/>
      <c r="J117" s="29"/>
      <c r="K117" s="29"/>
      <c r="L117" s="85"/>
      <c r="M117" s="29"/>
      <c r="N117" s="6"/>
    </row>
    <row r="118" spans="1:14" ht="15.75">
      <c r="A118" s="7"/>
      <c r="B118" s="165" t="s">
        <v>77</v>
      </c>
      <c r="C118" s="15"/>
      <c r="D118" s="9"/>
      <c r="E118" s="9"/>
      <c r="F118" s="9"/>
      <c r="G118" s="9"/>
      <c r="H118" s="9"/>
      <c r="I118" s="9"/>
      <c r="J118" s="9"/>
      <c r="K118" s="9"/>
      <c r="L118" s="64"/>
      <c r="M118" s="9"/>
      <c r="N118" s="6"/>
    </row>
    <row r="119" spans="1:14" ht="15.75">
      <c r="A119" s="28"/>
      <c r="B119" s="29" t="s">
        <v>78</v>
      </c>
      <c r="C119" s="86"/>
      <c r="D119" s="29"/>
      <c r="E119" s="29"/>
      <c r="F119" s="29"/>
      <c r="G119" s="29"/>
      <c r="H119" s="29"/>
      <c r="I119" s="29"/>
      <c r="J119" s="29"/>
      <c r="K119" s="29"/>
      <c r="L119" s="67">
        <f>L67</f>
        <v>228527</v>
      </c>
      <c r="M119" s="29"/>
      <c r="N119" s="6"/>
    </row>
    <row r="120" spans="1:14" ht="15.75">
      <c r="A120" s="28"/>
      <c r="B120" s="29" t="s">
        <v>79</v>
      </c>
      <c r="C120" s="86"/>
      <c r="D120" s="29"/>
      <c r="E120" s="29"/>
      <c r="F120" s="29"/>
      <c r="G120" s="29"/>
      <c r="H120" s="29"/>
      <c r="I120" s="29"/>
      <c r="J120" s="29"/>
      <c r="K120" s="29"/>
      <c r="L120" s="67">
        <f>L70</f>
        <v>45789</v>
      </c>
      <c r="M120" s="29"/>
      <c r="N120" s="6"/>
    </row>
    <row r="121" spans="1:15" ht="15.75">
      <c r="A121" s="28"/>
      <c r="B121" s="29" t="s">
        <v>80</v>
      </c>
      <c r="C121" s="86"/>
      <c r="D121" s="29"/>
      <c r="E121" s="29"/>
      <c r="F121" s="29"/>
      <c r="G121" s="29"/>
      <c r="H121" s="29"/>
      <c r="I121" s="29"/>
      <c r="J121" s="29"/>
      <c r="K121" s="29"/>
      <c r="L121" s="67">
        <f>L120+L119+L72+L73</f>
        <v>274316</v>
      </c>
      <c r="M121" s="29"/>
      <c r="N121" s="6"/>
      <c r="O121" s="72"/>
    </row>
    <row r="122" spans="1:14" ht="15.75">
      <c r="A122" s="28"/>
      <c r="B122" s="29" t="s">
        <v>81</v>
      </c>
      <c r="C122" s="86"/>
      <c r="D122" s="29"/>
      <c r="E122" s="29"/>
      <c r="F122" s="29"/>
      <c r="G122" s="29"/>
      <c r="H122" s="29"/>
      <c r="I122" s="29"/>
      <c r="J122" s="29"/>
      <c r="K122" s="29"/>
      <c r="L122" s="67">
        <f>L74</f>
        <v>251000</v>
      </c>
      <c r="M122" s="29"/>
      <c r="N122" s="6"/>
    </row>
    <row r="123" spans="1:14" ht="15.75">
      <c r="A123" s="28"/>
      <c r="B123" s="29"/>
      <c r="C123" s="29"/>
      <c r="D123" s="29"/>
      <c r="E123" s="29"/>
      <c r="F123" s="29"/>
      <c r="G123" s="29"/>
      <c r="H123" s="29"/>
      <c r="I123" s="29"/>
      <c r="J123" s="29"/>
      <c r="K123" s="29"/>
      <c r="L123" s="85"/>
      <c r="M123" s="29"/>
      <c r="N123" s="6"/>
    </row>
    <row r="124" spans="1:14" ht="15.75">
      <c r="A124" s="7"/>
      <c r="B124" s="165" t="s">
        <v>82</v>
      </c>
      <c r="C124" s="158"/>
      <c r="D124" s="158"/>
      <c r="E124" s="158"/>
      <c r="F124" s="158"/>
      <c r="G124" s="158"/>
      <c r="H124" s="159" t="s">
        <v>176</v>
      </c>
      <c r="I124" s="166"/>
      <c r="J124" s="159" t="s">
        <v>179</v>
      </c>
      <c r="K124" s="158"/>
      <c r="L124" s="167" t="s">
        <v>131</v>
      </c>
      <c r="M124" s="9"/>
      <c r="N124" s="6"/>
    </row>
    <row r="125" spans="1:14" ht="15.75">
      <c r="A125" s="28"/>
      <c r="B125" s="29" t="s">
        <v>83</v>
      </c>
      <c r="C125" s="29"/>
      <c r="D125" s="29"/>
      <c r="E125" s="29"/>
      <c r="F125" s="29"/>
      <c r="G125" s="29"/>
      <c r="H125" s="67">
        <v>0</v>
      </c>
      <c r="I125" s="29"/>
      <c r="J125" s="89" t="s">
        <v>180</v>
      </c>
      <c r="K125" s="29"/>
      <c r="L125" s="67">
        <f>H125</f>
        <v>0</v>
      </c>
      <c r="M125" s="29"/>
      <c r="N125" s="6"/>
    </row>
    <row r="126" spans="1:14" ht="15.75">
      <c r="A126" s="28"/>
      <c r="B126" s="29" t="s">
        <v>84</v>
      </c>
      <c r="C126" s="29"/>
      <c r="D126" s="29"/>
      <c r="E126" s="29"/>
      <c r="F126" s="29"/>
      <c r="G126" s="29"/>
      <c r="H126" s="67">
        <v>0</v>
      </c>
      <c r="I126" s="29"/>
      <c r="J126" s="89" t="s">
        <v>180</v>
      </c>
      <c r="K126" s="29"/>
      <c r="L126" s="67">
        <f>H126</f>
        <v>0</v>
      </c>
      <c r="M126" s="29"/>
      <c r="N126" s="6"/>
    </row>
    <row r="127" spans="1:14" ht="15.75">
      <c r="A127" s="28"/>
      <c r="B127" s="29" t="s">
        <v>85</v>
      </c>
      <c r="C127" s="29"/>
      <c r="D127" s="29"/>
      <c r="E127" s="29"/>
      <c r="F127" s="29"/>
      <c r="G127" s="29"/>
      <c r="H127" s="67">
        <v>0</v>
      </c>
      <c r="I127" s="29"/>
      <c r="J127" s="89" t="s">
        <v>180</v>
      </c>
      <c r="K127" s="29"/>
      <c r="L127" s="67">
        <f>H127</f>
        <v>0</v>
      </c>
      <c r="M127" s="29"/>
      <c r="N127" s="6"/>
    </row>
    <row r="128" spans="1:14" ht="15.75">
      <c r="A128" s="28"/>
      <c r="B128" s="29" t="s">
        <v>86</v>
      </c>
      <c r="C128" s="29"/>
      <c r="D128" s="29"/>
      <c r="E128" s="29"/>
      <c r="F128" s="29"/>
      <c r="G128" s="29"/>
      <c r="H128" s="67">
        <f>SUM(H126:H127)</f>
        <v>0</v>
      </c>
      <c r="I128" s="29"/>
      <c r="J128" s="89" t="s">
        <v>180</v>
      </c>
      <c r="K128" s="29"/>
      <c r="L128" s="67">
        <f>H128</f>
        <v>0</v>
      </c>
      <c r="M128" s="29"/>
      <c r="N128" s="6"/>
    </row>
    <row r="129" spans="1:14" ht="15.75">
      <c r="A129" s="28"/>
      <c r="B129" s="29" t="s">
        <v>87</v>
      </c>
      <c r="C129" s="29"/>
      <c r="D129" s="29"/>
      <c r="E129" s="29"/>
      <c r="F129" s="29"/>
      <c r="G129" s="29"/>
      <c r="H129" s="67">
        <f>H125-H128</f>
        <v>0</v>
      </c>
      <c r="I129" s="29"/>
      <c r="J129" s="89" t="s">
        <v>180</v>
      </c>
      <c r="K129" s="29"/>
      <c r="L129" s="67">
        <f>H129</f>
        <v>0</v>
      </c>
      <c r="M129" s="29"/>
      <c r="N129" s="6"/>
    </row>
    <row r="130" spans="1:14" ht="15.75">
      <c r="A130" s="28"/>
      <c r="B130" s="29"/>
      <c r="C130" s="29"/>
      <c r="D130" s="29"/>
      <c r="E130" s="29"/>
      <c r="F130" s="29"/>
      <c r="G130" s="29"/>
      <c r="H130" s="29"/>
      <c r="I130" s="29"/>
      <c r="J130" s="29"/>
      <c r="K130" s="29"/>
      <c r="L130" s="29"/>
      <c r="M130" s="29"/>
      <c r="N130" s="6"/>
    </row>
    <row r="131" spans="1:14" ht="15.75">
      <c r="A131" s="28"/>
      <c r="B131" s="32"/>
      <c r="C131" s="32"/>
      <c r="D131" s="32"/>
      <c r="E131" s="32"/>
      <c r="F131" s="32"/>
      <c r="G131" s="32"/>
      <c r="H131" s="32"/>
      <c r="I131" s="32"/>
      <c r="J131" s="32"/>
      <c r="K131" s="32"/>
      <c r="L131" s="32"/>
      <c r="M131" s="32"/>
      <c r="N131" s="6"/>
    </row>
    <row r="132" spans="1:14" ht="15.75">
      <c r="A132" s="90"/>
      <c r="B132" s="63" t="s">
        <v>88</v>
      </c>
      <c r="C132" s="91"/>
      <c r="D132" s="91"/>
      <c r="E132" s="91"/>
      <c r="F132" s="91"/>
      <c r="G132" s="21"/>
      <c r="H132" s="21"/>
      <c r="I132" s="21"/>
      <c r="J132" s="21">
        <v>37499</v>
      </c>
      <c r="K132" s="17"/>
      <c r="L132" s="17"/>
      <c r="M132" s="9"/>
      <c r="N132" s="6"/>
    </row>
    <row r="133" spans="1:14" ht="15.75">
      <c r="A133" s="92"/>
      <c r="B133" s="93" t="s">
        <v>89</v>
      </c>
      <c r="C133" s="94"/>
      <c r="D133" s="94"/>
      <c r="E133" s="94"/>
      <c r="F133" s="94"/>
      <c r="G133" s="95"/>
      <c r="H133" s="95"/>
      <c r="I133" s="95"/>
      <c r="J133" s="96">
        <v>0.1226</v>
      </c>
      <c r="K133" s="29"/>
      <c r="L133" s="29"/>
      <c r="M133" s="29"/>
      <c r="N133" s="6"/>
    </row>
    <row r="134" spans="1:14" ht="15.75">
      <c r="A134" s="92"/>
      <c r="B134" s="93" t="s">
        <v>90</v>
      </c>
      <c r="C134" s="94"/>
      <c r="D134" s="94"/>
      <c r="E134" s="94"/>
      <c r="F134" s="94"/>
      <c r="G134" s="95"/>
      <c r="H134" s="95"/>
      <c r="I134" s="95"/>
      <c r="J134" s="96">
        <v>0.0582</v>
      </c>
      <c r="K134" s="96"/>
      <c r="L134" s="29"/>
      <c r="M134" s="29"/>
      <c r="N134" s="6"/>
    </row>
    <row r="135" spans="1:14" ht="15.75">
      <c r="A135" s="92"/>
      <c r="B135" s="93" t="s">
        <v>91</v>
      </c>
      <c r="C135" s="94"/>
      <c r="D135" s="94"/>
      <c r="E135" s="94"/>
      <c r="F135" s="94"/>
      <c r="G135" s="95"/>
      <c r="H135" s="95"/>
      <c r="I135" s="95"/>
      <c r="J135" s="96">
        <f>J133-J134</f>
        <v>0.0644</v>
      </c>
      <c r="K135" s="29"/>
      <c r="L135" s="29"/>
      <c r="M135" s="29"/>
      <c r="N135" s="6"/>
    </row>
    <row r="136" spans="1:14" ht="15.75">
      <c r="A136" s="92"/>
      <c r="B136" s="93" t="s">
        <v>92</v>
      </c>
      <c r="C136" s="94"/>
      <c r="D136" s="94"/>
      <c r="E136" s="94"/>
      <c r="F136" s="94"/>
      <c r="G136" s="95"/>
      <c r="H136" s="95"/>
      <c r="I136" s="95"/>
      <c r="J136" s="96">
        <v>0.1243</v>
      </c>
      <c r="K136" s="29"/>
      <c r="L136" s="29"/>
      <c r="M136" s="29"/>
      <c r="N136" s="6"/>
    </row>
    <row r="137" spans="1:14" ht="15.75">
      <c r="A137" s="92"/>
      <c r="B137" s="93" t="s">
        <v>93</v>
      </c>
      <c r="C137" s="94"/>
      <c r="D137" s="94"/>
      <c r="E137" s="94"/>
      <c r="F137" s="94"/>
      <c r="G137" s="95"/>
      <c r="H137" s="95"/>
      <c r="I137" s="95"/>
      <c r="J137" s="96">
        <f>L32</f>
        <v>0.04757367888446215</v>
      </c>
      <c r="K137" s="29"/>
      <c r="L137" s="29"/>
      <c r="M137" s="29"/>
      <c r="N137" s="6"/>
    </row>
    <row r="138" spans="1:14" ht="15.75">
      <c r="A138" s="92"/>
      <c r="B138" s="93" t="s">
        <v>94</v>
      </c>
      <c r="C138" s="94"/>
      <c r="D138" s="94"/>
      <c r="E138" s="94"/>
      <c r="F138" s="94"/>
      <c r="G138" s="95"/>
      <c r="H138" s="95"/>
      <c r="I138" s="95"/>
      <c r="J138" s="96">
        <f>J136-J137</f>
        <v>0.07672632111553784</v>
      </c>
      <c r="K138" s="29"/>
      <c r="L138" s="29"/>
      <c r="M138" s="29"/>
      <c r="N138" s="6"/>
    </row>
    <row r="139" spans="1:14" ht="15.75">
      <c r="A139" s="92"/>
      <c r="B139" s="93" t="s">
        <v>95</v>
      </c>
      <c r="C139" s="94"/>
      <c r="D139" s="94"/>
      <c r="E139" s="94"/>
      <c r="F139" s="94"/>
      <c r="G139" s="95"/>
      <c r="H139" s="95"/>
      <c r="I139" s="95"/>
      <c r="J139" s="96" t="s">
        <v>181</v>
      </c>
      <c r="K139" s="29"/>
      <c r="L139" s="29"/>
      <c r="M139" s="29"/>
      <c r="N139" s="6"/>
    </row>
    <row r="140" spans="1:14" ht="15.75">
      <c r="A140" s="92"/>
      <c r="B140" s="93" t="s">
        <v>96</v>
      </c>
      <c r="C140" s="94"/>
      <c r="D140" s="94"/>
      <c r="E140" s="94"/>
      <c r="F140" s="94"/>
      <c r="G140" s="95"/>
      <c r="H140" s="95"/>
      <c r="I140" s="95"/>
      <c r="J140" s="96" t="s">
        <v>182</v>
      </c>
      <c r="K140" s="29"/>
      <c r="L140" s="29"/>
      <c r="M140" s="29"/>
      <c r="N140" s="6"/>
    </row>
    <row r="141" spans="1:14" ht="15.75">
      <c r="A141" s="92"/>
      <c r="B141" s="93" t="s">
        <v>97</v>
      </c>
      <c r="C141" s="94"/>
      <c r="D141" s="94"/>
      <c r="E141" s="94"/>
      <c r="F141" s="94"/>
      <c r="G141" s="95"/>
      <c r="H141" s="95"/>
      <c r="I141" s="95"/>
      <c r="J141" s="96" t="s">
        <v>183</v>
      </c>
      <c r="K141" s="29"/>
      <c r="L141" s="29"/>
      <c r="M141" s="29"/>
      <c r="N141" s="6"/>
    </row>
    <row r="142" spans="1:14" ht="15.75">
      <c r="A142" s="92"/>
      <c r="B142" s="93" t="s">
        <v>98</v>
      </c>
      <c r="C142" s="94"/>
      <c r="D142" s="94"/>
      <c r="E142" s="94"/>
      <c r="F142" s="94"/>
      <c r="G142" s="95"/>
      <c r="H142" s="95"/>
      <c r="I142" s="95"/>
      <c r="J142" s="97">
        <v>4.08</v>
      </c>
      <c r="K142" s="29"/>
      <c r="L142" s="29"/>
      <c r="M142" s="29"/>
      <c r="N142" s="6"/>
    </row>
    <row r="143" spans="1:14" ht="15.75">
      <c r="A143" s="92"/>
      <c r="B143" s="93" t="s">
        <v>99</v>
      </c>
      <c r="C143" s="94"/>
      <c r="D143" s="94"/>
      <c r="E143" s="94"/>
      <c r="F143" s="94"/>
      <c r="G143" s="95"/>
      <c r="H143" s="95"/>
      <c r="I143" s="95"/>
      <c r="J143" s="97">
        <v>5.57</v>
      </c>
      <c r="K143" s="29"/>
      <c r="L143" s="29"/>
      <c r="M143" s="29"/>
      <c r="N143" s="6"/>
    </row>
    <row r="144" spans="1:14" ht="15.75">
      <c r="A144" s="92"/>
      <c r="B144" s="93" t="s">
        <v>100</v>
      </c>
      <c r="C144" s="94"/>
      <c r="D144" s="94"/>
      <c r="E144" s="94"/>
      <c r="F144" s="94"/>
      <c r="G144" s="95"/>
      <c r="H144" s="95"/>
      <c r="I144" s="95"/>
      <c r="J144" s="96">
        <v>0.1429</v>
      </c>
      <c r="K144" s="29"/>
      <c r="L144" s="29"/>
      <c r="M144" s="29"/>
      <c r="N144" s="6"/>
    </row>
    <row r="145" spans="1:14" ht="15.75">
      <c r="A145" s="92"/>
      <c r="B145" s="93" t="s">
        <v>101</v>
      </c>
      <c r="C145" s="94"/>
      <c r="D145" s="94"/>
      <c r="E145" s="94"/>
      <c r="F145" s="94"/>
      <c r="G145" s="95"/>
      <c r="H145" s="95"/>
      <c r="I145" s="95"/>
      <c r="J145" s="96">
        <v>0.4466</v>
      </c>
      <c r="K145" s="29"/>
      <c r="L145" s="29"/>
      <c r="M145" s="29"/>
      <c r="N145" s="6"/>
    </row>
    <row r="146" spans="1:14" ht="15.75">
      <c r="A146" s="92"/>
      <c r="B146" s="93"/>
      <c r="C146" s="93"/>
      <c r="D146" s="93"/>
      <c r="E146" s="93"/>
      <c r="F146" s="93"/>
      <c r="G146" s="29"/>
      <c r="H146" s="29"/>
      <c r="I146" s="36"/>
      <c r="J146" s="98"/>
      <c r="K146" s="29"/>
      <c r="L146" s="99"/>
      <c r="M146" s="29"/>
      <c r="N146" s="6"/>
    </row>
    <row r="147" spans="1:14" ht="15.75">
      <c r="A147" s="90"/>
      <c r="B147" s="100"/>
      <c r="C147" s="100"/>
      <c r="D147" s="100"/>
      <c r="E147" s="100"/>
      <c r="F147" s="100"/>
      <c r="G147" s="9"/>
      <c r="H147" s="9"/>
      <c r="I147" s="22"/>
      <c r="J147" s="101"/>
      <c r="K147" s="9"/>
      <c r="L147" s="102"/>
      <c r="M147" s="9"/>
      <c r="N147" s="6"/>
    </row>
    <row r="148" spans="1:14" ht="16.5" thickBot="1">
      <c r="A148" s="150"/>
      <c r="B148" s="145" t="str">
        <f>B97</f>
        <v>PPAF1 INVESTOR REPORT QUARTER ENDING AUGUST 2002</v>
      </c>
      <c r="C148" s="151"/>
      <c r="D148" s="151"/>
      <c r="E148" s="151"/>
      <c r="F148" s="151"/>
      <c r="G148" s="146"/>
      <c r="H148" s="146"/>
      <c r="I148" s="152"/>
      <c r="J148" s="153"/>
      <c r="K148" s="146"/>
      <c r="L148" s="154"/>
      <c r="M148" s="148"/>
      <c r="N148" s="6"/>
    </row>
    <row r="149" spans="1:14" ht="15.75">
      <c r="A149" s="103"/>
      <c r="B149" s="104"/>
      <c r="C149" s="105"/>
      <c r="D149" s="106"/>
      <c r="E149" s="105"/>
      <c r="F149" s="106"/>
      <c r="G149" s="105"/>
      <c r="H149" s="106"/>
      <c r="I149" s="105"/>
      <c r="J149" s="106"/>
      <c r="K149" s="107"/>
      <c r="L149" s="107"/>
      <c r="M149" s="5"/>
      <c r="N149" s="6"/>
    </row>
    <row r="150" spans="1:14" ht="15.75">
      <c r="A150" s="108"/>
      <c r="B150" s="93" t="s">
        <v>103</v>
      </c>
      <c r="C150" s="68"/>
      <c r="D150" s="68"/>
      <c r="E150" s="68"/>
      <c r="F150" s="29"/>
      <c r="G150" s="29"/>
      <c r="H150" s="29"/>
      <c r="I150" s="29">
        <v>455</v>
      </c>
      <c r="J150" s="67">
        <v>3024</v>
      </c>
      <c r="K150" s="67"/>
      <c r="L150" s="99"/>
      <c r="M150" s="109"/>
      <c r="N150" s="6"/>
    </row>
    <row r="151" spans="1:14" ht="15.75">
      <c r="A151" s="108"/>
      <c r="B151" s="93" t="s">
        <v>104</v>
      </c>
      <c r="C151" s="68"/>
      <c r="D151" s="68"/>
      <c r="E151" s="68"/>
      <c r="F151" s="29"/>
      <c r="G151" s="29"/>
      <c r="H151" s="29"/>
      <c r="I151" s="29">
        <v>16</v>
      </c>
      <c r="J151" s="67">
        <v>110</v>
      </c>
      <c r="K151" s="67"/>
      <c r="L151" s="99"/>
      <c r="M151" s="109"/>
      <c r="N151" s="6"/>
    </row>
    <row r="152" spans="1:14" ht="15.75">
      <c r="A152" s="108"/>
      <c r="B152" s="168" t="s">
        <v>105</v>
      </c>
      <c r="C152" s="68"/>
      <c r="D152" s="68"/>
      <c r="E152" s="68"/>
      <c r="F152" s="29"/>
      <c r="G152" s="29"/>
      <c r="H152" s="29"/>
      <c r="I152" s="29"/>
      <c r="J152" s="110">
        <v>0</v>
      </c>
      <c r="K152" s="29"/>
      <c r="L152" s="99"/>
      <c r="M152" s="109"/>
      <c r="N152" s="6"/>
    </row>
    <row r="153" spans="1:14" ht="15.75">
      <c r="A153" s="108"/>
      <c r="B153" s="168" t="s">
        <v>106</v>
      </c>
      <c r="C153" s="68"/>
      <c r="D153" s="68"/>
      <c r="E153" s="68"/>
      <c r="F153" s="29"/>
      <c r="G153" s="29"/>
      <c r="H153" s="29"/>
      <c r="I153" s="29"/>
      <c r="J153" s="67">
        <f>H67</f>
        <v>31557</v>
      </c>
      <c r="K153" s="29"/>
      <c r="L153" s="99"/>
      <c r="M153" s="109"/>
      <c r="N153" s="6"/>
    </row>
    <row r="154" spans="1:14" ht="15.75">
      <c r="A154" s="111"/>
      <c r="B154" s="168" t="s">
        <v>107</v>
      </c>
      <c r="C154" s="68"/>
      <c r="D154" s="93"/>
      <c r="E154" s="93"/>
      <c r="F154" s="93"/>
      <c r="G154" s="29"/>
      <c r="H154" s="29"/>
      <c r="I154" s="29"/>
      <c r="J154" s="112"/>
      <c r="K154" s="29"/>
      <c r="L154" s="99"/>
      <c r="M154" s="113"/>
      <c r="N154" s="6"/>
    </row>
    <row r="155" spans="1:14" ht="15.75">
      <c r="A155" s="108"/>
      <c r="B155" s="93" t="s">
        <v>108</v>
      </c>
      <c r="C155" s="68"/>
      <c r="D155" s="68"/>
      <c r="E155" s="68"/>
      <c r="F155" s="68"/>
      <c r="G155" s="29"/>
      <c r="H155" s="29"/>
      <c r="I155" s="29"/>
      <c r="J155" s="67">
        <f>L116</f>
        <v>1969</v>
      </c>
      <c r="K155" s="29"/>
      <c r="L155" s="99"/>
      <c r="M155" s="113"/>
      <c r="N155" s="6"/>
    </row>
    <row r="156" spans="1:14" ht="15.75">
      <c r="A156" s="108"/>
      <c r="B156" s="93" t="s">
        <v>109</v>
      </c>
      <c r="C156" s="68"/>
      <c r="D156" s="68"/>
      <c r="E156" s="68"/>
      <c r="F156" s="68"/>
      <c r="G156" s="29"/>
      <c r="H156" s="29"/>
      <c r="I156" s="29"/>
      <c r="J156" s="67">
        <f>L116+'May 02'!J156</f>
        <v>12321</v>
      </c>
      <c r="K156" s="29"/>
      <c r="L156" s="99"/>
      <c r="M156" s="113"/>
      <c r="N156" s="6"/>
    </row>
    <row r="157" spans="1:14" ht="15.75">
      <c r="A157" s="108"/>
      <c r="B157" s="93" t="s">
        <v>110</v>
      </c>
      <c r="C157" s="68"/>
      <c r="D157" s="68"/>
      <c r="E157" s="68"/>
      <c r="F157" s="68"/>
      <c r="G157" s="29"/>
      <c r="H157" s="29"/>
      <c r="I157" s="29"/>
      <c r="J157" s="67"/>
      <c r="K157" s="29"/>
      <c r="L157" s="99"/>
      <c r="M157" s="113"/>
      <c r="N157" s="6"/>
    </row>
    <row r="158" spans="1:14" ht="15.75">
      <c r="A158" s="108"/>
      <c r="B158" s="93"/>
      <c r="C158" s="68"/>
      <c r="D158" s="68"/>
      <c r="E158" s="68"/>
      <c r="F158" s="68"/>
      <c r="G158" s="29"/>
      <c r="H158" s="29"/>
      <c r="I158" s="29"/>
      <c r="J158" s="67"/>
      <c r="K158" s="29"/>
      <c r="L158" s="99"/>
      <c r="M158" s="113"/>
      <c r="N158" s="6"/>
    </row>
    <row r="159" spans="1:14" ht="15.75">
      <c r="A159" s="111"/>
      <c r="B159" s="168" t="s">
        <v>111</v>
      </c>
      <c r="C159" s="68"/>
      <c r="D159" s="93"/>
      <c r="E159" s="93"/>
      <c r="F159" s="93"/>
      <c r="G159" s="29"/>
      <c r="H159" s="29"/>
      <c r="I159" s="29"/>
      <c r="J159" s="89"/>
      <c r="K159" s="29"/>
      <c r="L159" s="99"/>
      <c r="M159" s="113"/>
      <c r="N159" s="6"/>
    </row>
    <row r="160" spans="1:14" ht="15.75">
      <c r="A160" s="111"/>
      <c r="B160" s="93" t="s">
        <v>112</v>
      </c>
      <c r="C160" s="68"/>
      <c r="D160" s="93"/>
      <c r="E160" s="93"/>
      <c r="F160" s="93"/>
      <c r="G160" s="29"/>
      <c r="H160" s="29"/>
      <c r="I160" s="29"/>
      <c r="J160" s="89">
        <v>0</v>
      </c>
      <c r="K160" s="29"/>
      <c r="L160" s="99"/>
      <c r="M160" s="113"/>
      <c r="N160" s="6"/>
    </row>
    <row r="161" spans="1:14" ht="15.75">
      <c r="A161" s="108"/>
      <c r="B161" s="93" t="s">
        <v>113</v>
      </c>
      <c r="C161" s="68"/>
      <c r="D161" s="114"/>
      <c r="E161" s="114"/>
      <c r="F161" s="115"/>
      <c r="G161" s="29"/>
      <c r="H161" s="29"/>
      <c r="I161" s="29"/>
      <c r="J161" s="89">
        <v>0</v>
      </c>
      <c r="K161" s="29"/>
      <c r="L161" s="99"/>
      <c r="M161" s="113"/>
      <c r="N161" s="6"/>
    </row>
    <row r="162" spans="1:14" ht="15.75">
      <c r="A162" s="108"/>
      <c r="B162" s="93" t="s">
        <v>114</v>
      </c>
      <c r="C162" s="68"/>
      <c r="D162" s="114"/>
      <c r="E162" s="114"/>
      <c r="F162" s="115"/>
      <c r="G162" s="29"/>
      <c r="H162" s="29"/>
      <c r="I162" s="29"/>
      <c r="J162" s="89">
        <v>0</v>
      </c>
      <c r="K162" s="29"/>
      <c r="L162" s="99"/>
      <c r="M162" s="113"/>
      <c r="N162" s="6"/>
    </row>
    <row r="163" spans="1:14" ht="15.75">
      <c r="A163" s="108"/>
      <c r="B163" s="93" t="s">
        <v>115</v>
      </c>
      <c r="C163" s="68"/>
      <c r="D163" s="116"/>
      <c r="E163" s="114"/>
      <c r="F163" s="115"/>
      <c r="G163" s="29"/>
      <c r="H163" s="29"/>
      <c r="I163" s="29"/>
      <c r="J163" s="89">
        <v>0</v>
      </c>
      <c r="K163" s="29"/>
      <c r="L163" s="99"/>
      <c r="M163" s="113"/>
      <c r="N163" s="6"/>
    </row>
    <row r="164" spans="1:14" ht="15.75">
      <c r="A164" s="108"/>
      <c r="B164" s="93"/>
      <c r="C164" s="68"/>
      <c r="D164" s="116"/>
      <c r="E164" s="114"/>
      <c r="F164" s="115"/>
      <c r="G164" s="29"/>
      <c r="H164" s="29"/>
      <c r="I164" s="29"/>
      <c r="J164" s="89"/>
      <c r="K164" s="29"/>
      <c r="L164" s="99"/>
      <c r="M164" s="113"/>
      <c r="N164" s="6"/>
    </row>
    <row r="165" spans="1:14" ht="15.75">
      <c r="A165" s="108"/>
      <c r="B165" s="168" t="s">
        <v>116</v>
      </c>
      <c r="C165" s="68"/>
      <c r="D165" s="68"/>
      <c r="E165" s="116"/>
      <c r="F165" s="114"/>
      <c r="G165" s="115"/>
      <c r="H165" s="29"/>
      <c r="I165" s="36"/>
      <c r="J165" s="36"/>
      <c r="K165" s="117"/>
      <c r="L165" s="36"/>
      <c r="M165" s="99"/>
      <c r="N165" s="6"/>
    </row>
    <row r="166" spans="1:14" ht="15.75">
      <c r="A166" s="108"/>
      <c r="B166" s="93" t="s">
        <v>117</v>
      </c>
      <c r="C166" s="68"/>
      <c r="D166" s="68"/>
      <c r="E166" s="116"/>
      <c r="F166" s="114"/>
      <c r="G166" s="115"/>
      <c r="H166" s="29"/>
      <c r="I166" s="36"/>
      <c r="J166" s="118">
        <v>24</v>
      </c>
      <c r="K166" s="118"/>
      <c r="L166" s="36"/>
      <c r="M166" s="99"/>
      <c r="N166" s="6"/>
    </row>
    <row r="167" spans="1:14" ht="15.75">
      <c r="A167" s="108"/>
      <c r="B167" s="93" t="s">
        <v>113</v>
      </c>
      <c r="C167" s="68"/>
      <c r="D167" s="68"/>
      <c r="E167" s="116"/>
      <c r="F167" s="114"/>
      <c r="G167" s="115"/>
      <c r="H167" s="29"/>
      <c r="I167" s="36"/>
      <c r="J167" s="118">
        <v>4.14</v>
      </c>
      <c r="K167" s="118"/>
      <c r="L167" s="36"/>
      <c r="M167" s="99"/>
      <c r="N167" s="6"/>
    </row>
    <row r="168" spans="1:14" ht="15.75">
      <c r="A168" s="108"/>
      <c r="B168" s="93" t="s">
        <v>118</v>
      </c>
      <c r="C168" s="68"/>
      <c r="D168" s="68"/>
      <c r="E168" s="116"/>
      <c r="F168" s="114"/>
      <c r="G168" s="115"/>
      <c r="H168" s="29"/>
      <c r="I168" s="36"/>
      <c r="J168" s="118">
        <v>55</v>
      </c>
      <c r="K168" s="118"/>
      <c r="L168" s="36"/>
      <c r="M168" s="99"/>
      <c r="N168" s="6"/>
    </row>
    <row r="169" spans="1:14" ht="15.75">
      <c r="A169" s="108"/>
      <c r="B169" s="93"/>
      <c r="C169" s="68"/>
      <c r="D169" s="116"/>
      <c r="E169" s="114"/>
      <c r="F169" s="115"/>
      <c r="G169" s="29"/>
      <c r="H169" s="29"/>
      <c r="I169" s="29"/>
      <c r="J169" s="89"/>
      <c r="K169" s="29"/>
      <c r="L169" s="99"/>
      <c r="M169" s="113"/>
      <c r="N169" s="6"/>
    </row>
    <row r="170" spans="1:14" ht="15.75">
      <c r="A170" s="28"/>
      <c r="B170" s="119" t="s">
        <v>119</v>
      </c>
      <c r="C170" s="120"/>
      <c r="D170" s="121"/>
      <c r="E170" s="120"/>
      <c r="F170" s="121"/>
      <c r="G170" s="120"/>
      <c r="H170" s="121"/>
      <c r="I170" s="120"/>
      <c r="J170" s="121"/>
      <c r="K170" s="120"/>
      <c r="L170" s="122"/>
      <c r="M170" s="113"/>
      <c r="N170" s="6"/>
    </row>
    <row r="171" spans="1:14" ht="15.75">
      <c r="A171" s="28"/>
      <c r="B171" s="33"/>
      <c r="C171" s="84"/>
      <c r="D171" s="119" t="s">
        <v>151</v>
      </c>
      <c r="E171" s="120"/>
      <c r="F171" s="121"/>
      <c r="G171" s="120"/>
      <c r="H171" s="119" t="s">
        <v>39</v>
      </c>
      <c r="I171" s="120"/>
      <c r="J171" s="121"/>
      <c r="K171" s="120"/>
      <c r="L171" s="122"/>
      <c r="M171" s="113"/>
      <c r="N171" s="6"/>
    </row>
    <row r="172" spans="1:14" ht="15.75">
      <c r="A172" s="28"/>
      <c r="B172" s="84"/>
      <c r="C172" s="121" t="s">
        <v>141</v>
      </c>
      <c r="D172" s="120" t="s">
        <v>152</v>
      </c>
      <c r="E172" s="121" t="s">
        <v>157</v>
      </c>
      <c r="F172" s="120" t="s">
        <v>152</v>
      </c>
      <c r="G172" s="120"/>
      <c r="H172" s="121" t="s">
        <v>141</v>
      </c>
      <c r="I172" s="120" t="s">
        <v>152</v>
      </c>
      <c r="J172" s="121" t="s">
        <v>157</v>
      </c>
      <c r="K172" s="120" t="s">
        <v>152</v>
      </c>
      <c r="L172" s="122"/>
      <c r="M172" s="113"/>
      <c r="N172" s="6"/>
    </row>
    <row r="173" spans="1:14" ht="15.75">
      <c r="A173" s="28"/>
      <c r="B173" s="68" t="s">
        <v>120</v>
      </c>
      <c r="C173" s="123">
        <f>3084+6354</f>
        <v>9438</v>
      </c>
      <c r="D173" s="96">
        <f>C173/C177</f>
        <v>0.8334510773578241</v>
      </c>
      <c r="E173" s="123">
        <f>25674+28701</f>
        <v>54375</v>
      </c>
      <c r="F173" s="96">
        <f>E173/E177</f>
        <v>0.8709057419716505</v>
      </c>
      <c r="G173" s="120"/>
      <c r="H173" s="123">
        <v>42248</v>
      </c>
      <c r="I173" s="96">
        <f>H173/H177</f>
        <v>0.9319685873113915</v>
      </c>
      <c r="J173" s="123">
        <v>30085</v>
      </c>
      <c r="K173" s="96">
        <f>J173/J177</f>
        <v>0.9199180528375733</v>
      </c>
      <c r="L173" s="122"/>
      <c r="M173" s="113"/>
      <c r="N173" s="6"/>
    </row>
    <row r="174" spans="1:14" ht="15.75">
      <c r="A174" s="28"/>
      <c r="B174" s="68" t="s">
        <v>121</v>
      </c>
      <c r="C174" s="123">
        <f>40+143</f>
        <v>183</v>
      </c>
      <c r="D174" s="96">
        <f>C174/$C$177</f>
        <v>0.016160367361356412</v>
      </c>
      <c r="E174" s="123">
        <f>336+527</f>
        <v>863</v>
      </c>
      <c r="F174" s="96">
        <f>E174/$E$177</f>
        <v>0.013822375270281092</v>
      </c>
      <c r="G174" s="120"/>
      <c r="H174" s="123">
        <v>467</v>
      </c>
      <c r="I174" s="96">
        <f>H174/$H$177</f>
        <v>0.010301773581575928</v>
      </c>
      <c r="J174" s="123">
        <v>310</v>
      </c>
      <c r="K174" s="96">
        <f>J174/$J$177</f>
        <v>0.009478962818003913</v>
      </c>
      <c r="L174" s="122"/>
      <c r="M174" s="113"/>
      <c r="N174" s="6"/>
    </row>
    <row r="175" spans="1:14" ht="15.75">
      <c r="A175" s="28"/>
      <c r="B175" s="68" t="s">
        <v>122</v>
      </c>
      <c r="C175" s="123">
        <f>19+116</f>
        <v>135</v>
      </c>
      <c r="D175" s="96">
        <f>C175/$C$177</f>
        <v>0.011921582479689156</v>
      </c>
      <c r="E175" s="123">
        <f>186+560</f>
        <v>746</v>
      </c>
      <c r="F175" s="96">
        <f>E175/$E$177</f>
        <v>0.011948426363417955</v>
      </c>
      <c r="G175" s="120"/>
      <c r="H175" s="123">
        <v>346</v>
      </c>
      <c r="I175" s="96">
        <f>H175/$H$177</f>
        <v>0.007632577428747904</v>
      </c>
      <c r="J175" s="123">
        <v>290</v>
      </c>
      <c r="K175" s="96">
        <f>J175/$J$177</f>
        <v>0.008867416829745596</v>
      </c>
      <c r="L175" s="122"/>
      <c r="M175" s="113"/>
      <c r="N175" s="6"/>
    </row>
    <row r="176" spans="1:14" ht="15.75">
      <c r="A176" s="28"/>
      <c r="B176" s="68" t="s">
        <v>123</v>
      </c>
      <c r="C176" s="123">
        <f>15+113+6+102+5+133+4+109+2+120+3+121+2+138+1+144+146+24+380</f>
        <v>1568</v>
      </c>
      <c r="D176" s="96">
        <f>C176/$C$177</f>
        <v>0.13846697280113035</v>
      </c>
      <c r="E176" s="123">
        <f>26492+55138-19195-E175-E174-E173</f>
        <v>6451</v>
      </c>
      <c r="F176" s="96">
        <f>E176/$E$177</f>
        <v>0.10332345639465043</v>
      </c>
      <c r="G176" s="120"/>
      <c r="H176" s="123">
        <f>291+270+302+233+208+250+265+181+271</f>
        <v>2271</v>
      </c>
      <c r="I176" s="96">
        <f>H176/$H$177</f>
        <v>0.050097061678284656</v>
      </c>
      <c r="J176" s="123">
        <f>34928-2224-J175-J174-J173</f>
        <v>2019</v>
      </c>
      <c r="K176" s="96">
        <f>J176/$J$177</f>
        <v>0.061735567514677105</v>
      </c>
      <c r="L176" s="122"/>
      <c r="M176" s="113"/>
      <c r="N176" s="6"/>
    </row>
    <row r="177" spans="1:14" ht="15.75">
      <c r="A177" s="28"/>
      <c r="B177" s="68" t="s">
        <v>124</v>
      </c>
      <c r="C177" s="123">
        <f>SUM(C173:C176)</f>
        <v>11324</v>
      </c>
      <c r="D177" s="96">
        <f>SUM(D173:D176)</f>
        <v>1</v>
      </c>
      <c r="E177" s="123">
        <f>SUM(E173:E176)</f>
        <v>62435</v>
      </c>
      <c r="F177" s="96">
        <f>SUM(F173:F176)</f>
        <v>1</v>
      </c>
      <c r="G177" s="120"/>
      <c r="H177" s="123">
        <f>SUM(H173:H176)</f>
        <v>45332</v>
      </c>
      <c r="I177" s="96">
        <f>SUM(I173:I176)</f>
        <v>1</v>
      </c>
      <c r="J177" s="123">
        <f>SUM(J173:J176)</f>
        <v>32704</v>
      </c>
      <c r="K177" s="96">
        <f>SUM(K173:K176)</f>
        <v>0.9999999999999999</v>
      </c>
      <c r="L177" s="122"/>
      <c r="M177" s="113"/>
      <c r="N177" s="6"/>
    </row>
    <row r="178" spans="1:14" ht="15.75">
      <c r="A178" s="28"/>
      <c r="B178" s="68" t="s">
        <v>125</v>
      </c>
      <c r="C178" s="123">
        <v>2833</v>
      </c>
      <c r="D178" s="124"/>
      <c r="E178" s="123">
        <v>19195</v>
      </c>
      <c r="F178" s="124"/>
      <c r="G178" s="120"/>
      <c r="H178" s="123">
        <v>1663</v>
      </c>
      <c r="I178" s="124"/>
      <c r="J178" s="123">
        <v>2224</v>
      </c>
      <c r="K178" s="124"/>
      <c r="L178" s="122"/>
      <c r="M178" s="113"/>
      <c r="N178" s="6"/>
    </row>
    <row r="179" spans="1:14" ht="15.75">
      <c r="A179" s="28"/>
      <c r="B179" s="68" t="s">
        <v>126</v>
      </c>
      <c r="C179" s="123">
        <f>SUM(C177:C178)</f>
        <v>14157</v>
      </c>
      <c r="D179" s="84"/>
      <c r="E179" s="123">
        <f>E178+E177</f>
        <v>81630</v>
      </c>
      <c r="F179" s="127"/>
      <c r="G179" s="84"/>
      <c r="H179" s="123">
        <f>SUM(H177:H178)</f>
        <v>46995</v>
      </c>
      <c r="I179" s="84"/>
      <c r="J179" s="123">
        <f>J178+J177</f>
        <v>34928</v>
      </c>
      <c r="K179" s="84"/>
      <c r="L179" s="84"/>
      <c r="M179" s="113"/>
      <c r="N179" s="6"/>
    </row>
    <row r="180" spans="1:14" ht="15.75">
      <c r="A180" s="28"/>
      <c r="B180" s="68"/>
      <c r="C180" s="123"/>
      <c r="D180" s="127"/>
      <c r="E180" s="123"/>
      <c r="F180" s="127"/>
      <c r="G180" s="120"/>
      <c r="H180" s="123"/>
      <c r="I180" s="127"/>
      <c r="J180" s="123"/>
      <c r="K180" s="127"/>
      <c r="L180" s="122"/>
      <c r="M180" s="113"/>
      <c r="N180" s="6"/>
    </row>
    <row r="181" spans="1:14" ht="15.75">
      <c r="A181" s="28"/>
      <c r="B181" s="68"/>
      <c r="C181" s="120"/>
      <c r="D181" s="119" t="s">
        <v>40</v>
      </c>
      <c r="E181" s="120"/>
      <c r="F181" s="121"/>
      <c r="G181" s="120"/>
      <c r="H181" s="119" t="s">
        <v>41</v>
      </c>
      <c r="I181" s="120"/>
      <c r="J181" s="121"/>
      <c r="K181" s="120"/>
      <c r="L181" s="122"/>
      <c r="M181" s="113"/>
      <c r="N181" s="6"/>
    </row>
    <row r="182" spans="1:14" ht="15.75">
      <c r="A182" s="28"/>
      <c r="B182" s="84"/>
      <c r="C182" s="121" t="s">
        <v>141</v>
      </c>
      <c r="D182" s="120" t="s">
        <v>152</v>
      </c>
      <c r="E182" s="121" t="s">
        <v>157</v>
      </c>
      <c r="F182" s="120" t="s">
        <v>152</v>
      </c>
      <c r="G182" s="120"/>
      <c r="H182" s="121" t="s">
        <v>141</v>
      </c>
      <c r="I182" s="120" t="s">
        <v>152</v>
      </c>
      <c r="J182" s="121" t="s">
        <v>157</v>
      </c>
      <c r="K182" s="120" t="s">
        <v>152</v>
      </c>
      <c r="L182" s="122"/>
      <c r="M182" s="113"/>
      <c r="N182" s="6"/>
    </row>
    <row r="183" spans="1:14" ht="15.75">
      <c r="A183" s="28"/>
      <c r="B183" s="68" t="s">
        <v>120</v>
      </c>
      <c r="C183" s="123">
        <v>3714</v>
      </c>
      <c r="D183" s="96">
        <f>C183/C187</f>
        <v>0.9273408239700375</v>
      </c>
      <c r="E183" s="123">
        <v>53466</v>
      </c>
      <c r="F183" s="96">
        <f>E183/E187</f>
        <v>0.9575199684802465</v>
      </c>
      <c r="G183" s="120"/>
      <c r="H183" s="123">
        <v>8752</v>
      </c>
      <c r="I183" s="96">
        <f>H183/H187</f>
        <v>0.9691064112501384</v>
      </c>
      <c r="J183" s="123">
        <v>55201</v>
      </c>
      <c r="K183" s="96">
        <f>J183/J187</f>
        <v>0.9853802213495181</v>
      </c>
      <c r="L183" s="122"/>
      <c r="M183" s="113"/>
      <c r="N183" s="6"/>
    </row>
    <row r="184" spans="1:14" ht="15.75">
      <c r="A184" s="28"/>
      <c r="B184" s="68" t="s">
        <v>121</v>
      </c>
      <c r="C184" s="123">
        <v>60</v>
      </c>
      <c r="D184" s="96">
        <f>C184/$C$187</f>
        <v>0.0149812734082397</v>
      </c>
      <c r="E184" s="123">
        <v>1009</v>
      </c>
      <c r="F184" s="96">
        <f>E184/$E$187</f>
        <v>0.01807013145169956</v>
      </c>
      <c r="G184" s="120"/>
      <c r="H184" s="123">
        <v>43</v>
      </c>
      <c r="I184" s="96">
        <f>H184/$H$187</f>
        <v>0.004761377477577234</v>
      </c>
      <c r="J184" s="123">
        <v>346</v>
      </c>
      <c r="K184" s="96">
        <f>J184/$J$187</f>
        <v>0.0061763655837201</v>
      </c>
      <c r="L184" s="122"/>
      <c r="M184" s="113"/>
      <c r="N184" s="6"/>
    </row>
    <row r="185" spans="1:14" ht="15.75">
      <c r="A185" s="28"/>
      <c r="B185" s="68" t="s">
        <v>122</v>
      </c>
      <c r="C185" s="123">
        <v>28</v>
      </c>
      <c r="D185" s="96">
        <f>C185/$C$187</f>
        <v>0.006991260923845194</v>
      </c>
      <c r="E185" s="123">
        <v>434</v>
      </c>
      <c r="F185" s="96">
        <f>E185/$E$187</f>
        <v>0.007772484687846986</v>
      </c>
      <c r="G185" s="120"/>
      <c r="H185" s="123">
        <v>13</v>
      </c>
      <c r="I185" s="96">
        <f>H185/$H$187</f>
        <v>0.0014394862141512569</v>
      </c>
      <c r="J185" s="123">
        <v>120</v>
      </c>
      <c r="K185" s="96">
        <f>J185/$J$187</f>
        <v>0.0021420921099607284</v>
      </c>
      <c r="L185" s="122"/>
      <c r="M185" s="113"/>
      <c r="N185" s="6"/>
    </row>
    <row r="186" spans="1:14" ht="15.75">
      <c r="A186" s="28"/>
      <c r="B186" s="68" t="s">
        <v>123</v>
      </c>
      <c r="C186" s="123">
        <f>24+8+7+7+2+3+2+1+149</f>
        <v>203</v>
      </c>
      <c r="D186" s="96">
        <f>C186/$C$187</f>
        <v>0.050686641697877656</v>
      </c>
      <c r="E186" s="123">
        <f>55910-72-E185-E184-E183</f>
        <v>929</v>
      </c>
      <c r="F186" s="96">
        <f>E186/$E$187</f>
        <v>0.016637415380207028</v>
      </c>
      <c r="G186" s="120"/>
      <c r="H186" s="123">
        <f>7+9+4+2+2+2+4+3+190</f>
        <v>223</v>
      </c>
      <c r="I186" s="96">
        <f>H186/$H$187</f>
        <v>0.024692725058133098</v>
      </c>
      <c r="J186" s="123">
        <f>56059-39-J185-J184-J183</f>
        <v>353</v>
      </c>
      <c r="K186" s="96">
        <f>J186/$J$187</f>
        <v>0.006301320956801143</v>
      </c>
      <c r="L186" s="122"/>
      <c r="M186" s="113"/>
      <c r="N186" s="6"/>
    </row>
    <row r="187" spans="1:14" ht="15.75">
      <c r="A187" s="28"/>
      <c r="B187" s="68" t="str">
        <f>B177</f>
        <v>Total Performing  Assets</v>
      </c>
      <c r="C187" s="123">
        <f>SUM(C183:C186)</f>
        <v>4005</v>
      </c>
      <c r="D187" s="96">
        <f>SUM(D183:D186)</f>
        <v>1</v>
      </c>
      <c r="E187" s="123">
        <f>SUM(E183:E186)</f>
        <v>55838</v>
      </c>
      <c r="F187" s="96">
        <f>SUM(F183:F186)</f>
        <v>1</v>
      </c>
      <c r="G187" s="120"/>
      <c r="H187" s="123">
        <f>SUM(H183:H186)</f>
        <v>9031</v>
      </c>
      <c r="I187" s="96">
        <f>SUM(I183:I186)</f>
        <v>1</v>
      </c>
      <c r="J187" s="123">
        <f>SUM(J183:J186)</f>
        <v>56020</v>
      </c>
      <c r="K187" s="96">
        <f>SUM(K183:K186)</f>
        <v>1.0000000000000002</v>
      </c>
      <c r="L187" s="122"/>
      <c r="M187" s="113"/>
      <c r="N187" s="6"/>
    </row>
    <row r="188" spans="1:14" ht="15.75">
      <c r="A188" s="28"/>
      <c r="B188" s="68" t="s">
        <v>125</v>
      </c>
      <c r="C188" s="123">
        <v>6</v>
      </c>
      <c r="D188" s="126"/>
      <c r="E188" s="123">
        <v>72</v>
      </c>
      <c r="F188" s="124"/>
      <c r="G188" s="120"/>
      <c r="H188" s="123">
        <v>5</v>
      </c>
      <c r="I188" s="126"/>
      <c r="J188" s="123">
        <v>39</v>
      </c>
      <c r="K188" s="126"/>
      <c r="L188" s="122"/>
      <c r="M188" s="113"/>
      <c r="N188" s="6"/>
    </row>
    <row r="189" spans="1:14" ht="15.75">
      <c r="A189" s="28"/>
      <c r="B189" s="68" t="s">
        <v>126</v>
      </c>
      <c r="C189" s="123">
        <f>SUM(C187:C188)</f>
        <v>4011</v>
      </c>
      <c r="D189" s="84"/>
      <c r="E189" s="123">
        <f>E188+E187</f>
        <v>55910</v>
      </c>
      <c r="F189" s="127"/>
      <c r="G189" s="84"/>
      <c r="H189" s="123">
        <f>SUM(H187:H188)</f>
        <v>9036</v>
      </c>
      <c r="I189" s="84"/>
      <c r="J189" s="123">
        <f>J188+J187</f>
        <v>56059</v>
      </c>
      <c r="K189" s="84"/>
      <c r="L189" s="84"/>
      <c r="M189" s="84"/>
      <c r="N189" s="6"/>
    </row>
    <row r="190" spans="1:14" ht="15.75">
      <c r="A190" s="28"/>
      <c r="B190" s="68"/>
      <c r="C190" s="120"/>
      <c r="D190" s="121"/>
      <c r="E190" s="120"/>
      <c r="F190" s="121"/>
      <c r="G190" s="120"/>
      <c r="H190" s="128"/>
      <c r="I190" s="120"/>
      <c r="J190" s="123"/>
      <c r="K190" s="120"/>
      <c r="L190" s="122"/>
      <c r="M190" s="113"/>
      <c r="N190" s="6"/>
    </row>
    <row r="191" spans="1:14" ht="15.75">
      <c r="A191" s="28"/>
      <c r="B191" s="68" t="s">
        <v>126</v>
      </c>
      <c r="C191" s="120"/>
      <c r="D191" s="121"/>
      <c r="E191" s="120"/>
      <c r="F191" s="121"/>
      <c r="G191" s="120"/>
      <c r="H191" s="128"/>
      <c r="I191" s="126"/>
      <c r="J191" s="123">
        <f>E179+J179+E189+J189</f>
        <v>228527</v>
      </c>
      <c r="K191" s="127"/>
      <c r="L191" s="122"/>
      <c r="M191" s="113"/>
      <c r="N191" s="6"/>
    </row>
    <row r="192" spans="1:14" ht="15.75">
      <c r="A192" s="28"/>
      <c r="B192" s="68"/>
      <c r="C192" s="120"/>
      <c r="D192" s="121"/>
      <c r="E192" s="120"/>
      <c r="F192" s="121"/>
      <c r="G192" s="120"/>
      <c r="H192" s="121"/>
      <c r="I192" s="120"/>
      <c r="J192" s="123"/>
      <c r="K192" s="126"/>
      <c r="L192" s="122"/>
      <c r="M192" s="113"/>
      <c r="N192" s="6"/>
    </row>
    <row r="193" spans="1:14" ht="15.75">
      <c r="A193" s="28"/>
      <c r="B193" s="129" t="s">
        <v>127</v>
      </c>
      <c r="C193" s="120"/>
      <c r="D193" s="121"/>
      <c r="E193" s="120"/>
      <c r="F193" s="121"/>
      <c r="G193" s="120"/>
      <c r="H193" s="121"/>
      <c r="I193" s="120"/>
      <c r="J193" s="123"/>
      <c r="K193" s="120"/>
      <c r="L193" s="122"/>
      <c r="M193" s="113"/>
      <c r="N193" s="6"/>
    </row>
    <row r="194" spans="1:14" ht="15.75">
      <c r="A194" s="28"/>
      <c r="B194" s="68"/>
      <c r="C194" s="120"/>
      <c r="D194" s="121"/>
      <c r="E194" s="120"/>
      <c r="F194" s="121"/>
      <c r="G194" s="120"/>
      <c r="H194" s="121"/>
      <c r="I194" s="120"/>
      <c r="J194" s="123"/>
      <c r="K194" s="120"/>
      <c r="L194" s="122"/>
      <c r="M194" s="113"/>
      <c r="N194" s="6"/>
    </row>
    <row r="195" spans="1:14" ht="15.75">
      <c r="A195" s="28"/>
      <c r="B195" s="68" t="s">
        <v>128</v>
      </c>
      <c r="C195" s="120"/>
      <c r="D195" s="121"/>
      <c r="E195" s="120"/>
      <c r="F195" s="121"/>
      <c r="G195" s="120"/>
      <c r="H195" s="121"/>
      <c r="I195" s="120"/>
      <c r="J195" s="123">
        <f>E177+J177+E187+J187</f>
        <v>206997</v>
      </c>
      <c r="K195" s="120"/>
      <c r="L195" s="122"/>
      <c r="M195" s="113"/>
      <c r="N195" s="6"/>
    </row>
    <row r="196" spans="1:14" ht="15.75">
      <c r="A196" s="28"/>
      <c r="B196" s="68" t="s">
        <v>129</v>
      </c>
      <c r="C196" s="120"/>
      <c r="D196" s="121"/>
      <c r="E196" s="120"/>
      <c r="F196" s="121"/>
      <c r="G196" s="120"/>
      <c r="H196" s="121"/>
      <c r="I196" s="120"/>
      <c r="J196" s="123">
        <f>L93</f>
        <v>45792</v>
      </c>
      <c r="K196" s="120"/>
      <c r="L196" s="122"/>
      <c r="M196" s="113"/>
      <c r="N196" s="6"/>
    </row>
    <row r="197" spans="1:14" ht="15.75">
      <c r="A197" s="28"/>
      <c r="B197" s="68" t="s">
        <v>130</v>
      </c>
      <c r="C197" s="120"/>
      <c r="D197" s="121"/>
      <c r="E197" s="120"/>
      <c r="F197" s="121"/>
      <c r="G197" s="120"/>
      <c r="H197" s="121"/>
      <c r="I197" s="120"/>
      <c r="J197" s="123">
        <v>-1789</v>
      </c>
      <c r="K197" s="120"/>
      <c r="L197" s="122"/>
      <c r="M197" s="113"/>
      <c r="N197" s="6"/>
    </row>
    <row r="198" spans="1:14" ht="15.75">
      <c r="A198" s="28"/>
      <c r="B198" s="68" t="s">
        <v>131</v>
      </c>
      <c r="C198" s="120"/>
      <c r="D198" s="121"/>
      <c r="E198" s="120"/>
      <c r="F198" s="121"/>
      <c r="G198" s="120"/>
      <c r="H198" s="121"/>
      <c r="I198" s="120"/>
      <c r="J198" s="123">
        <f>SUM(J195:J197)</f>
        <v>251000</v>
      </c>
      <c r="K198" s="120"/>
      <c r="L198" s="122"/>
      <c r="M198" s="113"/>
      <c r="N198" s="6"/>
    </row>
    <row r="199" spans="1:14" ht="15.75">
      <c r="A199" s="28"/>
      <c r="B199" s="68"/>
      <c r="C199" s="120"/>
      <c r="D199" s="121"/>
      <c r="E199" s="120"/>
      <c r="F199" s="121"/>
      <c r="G199" s="120"/>
      <c r="H199" s="121"/>
      <c r="I199" s="120"/>
      <c r="J199" s="123"/>
      <c r="K199" s="120"/>
      <c r="L199" s="122"/>
      <c r="M199" s="113"/>
      <c r="N199" s="6"/>
    </row>
    <row r="200" spans="1:14" ht="15.75">
      <c r="A200" s="28"/>
      <c r="B200" s="68" t="s">
        <v>132</v>
      </c>
      <c r="C200" s="120"/>
      <c r="D200" s="121"/>
      <c r="E200" s="120"/>
      <c r="F200" s="121"/>
      <c r="G200" s="120"/>
      <c r="H200" s="121"/>
      <c r="I200" s="120"/>
      <c r="J200" s="123">
        <f>L30</f>
        <v>251000</v>
      </c>
      <c r="K200" s="120"/>
      <c r="L200" s="122"/>
      <c r="M200" s="113"/>
      <c r="N200" s="6"/>
    </row>
    <row r="201" spans="1:14" ht="15.75">
      <c r="A201" s="28"/>
      <c r="B201" s="68"/>
      <c r="C201" s="120"/>
      <c r="D201" s="121"/>
      <c r="E201" s="120"/>
      <c r="F201" s="121"/>
      <c r="G201" s="120"/>
      <c r="H201" s="121"/>
      <c r="I201" s="120"/>
      <c r="J201" s="123"/>
      <c r="K201" s="120"/>
      <c r="L201" s="122"/>
      <c r="M201" s="113"/>
      <c r="N201" s="6"/>
    </row>
    <row r="202" spans="1:14" ht="15.75">
      <c r="A202" s="28"/>
      <c r="B202" s="68" t="s">
        <v>133</v>
      </c>
      <c r="C202" s="120"/>
      <c r="D202" s="121"/>
      <c r="E202" s="120"/>
      <c r="F202" s="121"/>
      <c r="G202" s="120"/>
      <c r="H202" s="121"/>
      <c r="I202" s="120"/>
      <c r="J202" s="123">
        <f>J198/J200</f>
        <v>1</v>
      </c>
      <c r="K202" s="120"/>
      <c r="L202" s="122"/>
      <c r="M202" s="113"/>
      <c r="N202" s="6"/>
    </row>
    <row r="203" spans="1:14" ht="15.75">
      <c r="A203" s="28"/>
      <c r="B203" s="29"/>
      <c r="C203" s="29"/>
      <c r="D203" s="36"/>
      <c r="E203" s="29"/>
      <c r="F203" s="29"/>
      <c r="G203" s="29"/>
      <c r="H203" s="66"/>
      <c r="I203" s="130"/>
      <c r="J203" s="67"/>
      <c r="K203" s="130"/>
      <c r="L203" s="99"/>
      <c r="M203" s="29"/>
      <c r="N203" s="6"/>
    </row>
    <row r="204" spans="1:14" ht="15.75">
      <c r="A204" s="131"/>
      <c r="B204" s="33" t="s">
        <v>134</v>
      </c>
      <c r="C204" s="132"/>
      <c r="D204" s="120" t="s">
        <v>153</v>
      </c>
      <c r="E204" s="122"/>
      <c r="F204" s="33" t="s">
        <v>166</v>
      </c>
      <c r="G204" s="133"/>
      <c r="H204" s="133"/>
      <c r="I204" s="133"/>
      <c r="J204" s="134"/>
      <c r="K204" s="32"/>
      <c r="L204" s="32"/>
      <c r="M204" s="32"/>
      <c r="N204" s="6"/>
    </row>
    <row r="205" spans="1:14" ht="15.75">
      <c r="A205" s="135"/>
      <c r="B205" s="15" t="s">
        <v>135</v>
      </c>
      <c r="C205" s="136"/>
      <c r="D205" s="137" t="s">
        <v>154</v>
      </c>
      <c r="E205" s="15"/>
      <c r="F205" s="15" t="s">
        <v>167</v>
      </c>
      <c r="G205" s="136"/>
      <c r="H205" s="136"/>
      <c r="I205" s="14"/>
      <c r="J205" s="14"/>
      <c r="K205" s="14"/>
      <c r="L205" s="14"/>
      <c r="M205" s="14"/>
      <c r="N205" s="6"/>
    </row>
    <row r="206" spans="1:14" ht="15.75">
      <c r="A206" s="135"/>
      <c r="B206" s="15" t="s">
        <v>136</v>
      </c>
      <c r="C206" s="136"/>
      <c r="D206" s="137" t="s">
        <v>155</v>
      </c>
      <c r="E206" s="15"/>
      <c r="F206" s="15" t="s">
        <v>168</v>
      </c>
      <c r="G206" s="136"/>
      <c r="H206" s="136"/>
      <c r="I206" s="14"/>
      <c r="J206" s="14"/>
      <c r="K206" s="14"/>
      <c r="L206" s="14"/>
      <c r="M206" s="14"/>
      <c r="N206" s="6"/>
    </row>
    <row r="207" spans="1:14" ht="15.75">
      <c r="A207" s="135"/>
      <c r="B207" s="15"/>
      <c r="C207" s="136"/>
      <c r="D207" s="137"/>
      <c r="E207" s="15"/>
      <c r="F207" s="15"/>
      <c r="G207" s="136"/>
      <c r="H207" s="136"/>
      <c r="I207" s="14"/>
      <c r="J207" s="14"/>
      <c r="K207" s="14"/>
      <c r="L207" s="14"/>
      <c r="M207" s="14"/>
      <c r="N207" s="6"/>
    </row>
    <row r="208" spans="1:14" ht="15.75">
      <c r="A208" s="135"/>
      <c r="B208" s="15"/>
      <c r="C208" s="136"/>
      <c r="D208" s="137"/>
      <c r="E208" s="15"/>
      <c r="F208" s="15"/>
      <c r="G208" s="136"/>
      <c r="H208" s="136"/>
      <c r="I208" s="14"/>
      <c r="J208" s="14"/>
      <c r="K208" s="14"/>
      <c r="L208" s="14"/>
      <c r="M208" s="14"/>
      <c r="N208" s="6"/>
    </row>
    <row r="209" spans="1:14" ht="15.75">
      <c r="A209" s="135"/>
      <c r="B209" s="15" t="str">
        <f>B148</f>
        <v>PPAF1 INVESTOR REPORT QUARTER ENDING AUGUST 2002</v>
      </c>
      <c r="C209" s="136"/>
      <c r="D209" s="137"/>
      <c r="E209" s="15"/>
      <c r="F209" s="15"/>
      <c r="G209" s="136"/>
      <c r="H209" s="136"/>
      <c r="I209" s="14"/>
      <c r="J209" s="14"/>
      <c r="K209" s="14"/>
      <c r="L209" s="14"/>
      <c r="M209" s="14"/>
      <c r="N209" s="6"/>
    </row>
    <row r="210" spans="1:13" ht="15">
      <c r="A210" s="138"/>
      <c r="B210" s="138"/>
      <c r="C210" s="138"/>
      <c r="D210" s="138"/>
      <c r="E210" s="138"/>
      <c r="F210" s="138"/>
      <c r="G210" s="138"/>
      <c r="H210" s="138"/>
      <c r="I210" s="138"/>
      <c r="J210" s="138"/>
      <c r="K210" s="138"/>
      <c r="L210" s="138"/>
      <c r="M210" s="138"/>
    </row>
  </sheetData>
  <printOptions horizontalCentered="1" verticalCentered="1"/>
  <pageMargins left="0.2362204724409449" right="0.4330708661417323" top="0.2362204724409449" bottom="0.7480314960629921" header="0" footer="0"/>
  <pageSetup horizontalDpi="600" verticalDpi="600" orientation="landscape" paperSize="9" scale="50" r:id="rId2"/>
  <rowBreaks count="4" manualBreakCount="4">
    <brk id="50" max="13" man="1"/>
    <brk id="97" max="13" man="1"/>
    <brk id="148" max="13" man="1"/>
    <brk id="210" max="0" man="1"/>
  </rowBreaks>
  <drawing r:id="rId1"/>
</worksheet>
</file>

<file path=xl/worksheets/sheet6.xml><?xml version="1.0" encoding="utf-8"?>
<worksheet xmlns="http://schemas.openxmlformats.org/spreadsheetml/2006/main" xmlns:r="http://schemas.openxmlformats.org/officeDocument/2006/relationships">
  <dimension ref="A1:Q210"/>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1.6640625" style="1" customWidth="1"/>
    <col min="3" max="3" width="12.6640625" style="1" customWidth="1"/>
    <col min="4" max="4" width="14.6640625" style="1" customWidth="1"/>
    <col min="5" max="5" width="11.6640625" style="1" customWidth="1"/>
    <col min="6" max="6" width="14.6640625" style="1" customWidth="1"/>
    <col min="7" max="7" width="7.6640625" style="1" customWidth="1"/>
    <col min="8" max="8" width="13.6640625" style="1" customWidth="1"/>
    <col min="9" max="9" width="9.6640625" style="1" customWidth="1"/>
    <col min="10" max="10" width="13.6640625" style="1" customWidth="1"/>
    <col min="11" max="11" width="8.6640625" style="1" customWidth="1"/>
    <col min="12" max="12" width="15.6640625" style="1" customWidth="1"/>
    <col min="13" max="13" width="10.7773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8"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2" t="s">
        <v>2</v>
      </c>
      <c r="C5" s="13"/>
      <c r="D5" s="9"/>
      <c r="E5" s="9"/>
      <c r="F5" s="9"/>
      <c r="G5" s="9"/>
      <c r="H5" s="9"/>
      <c r="I5" s="9"/>
      <c r="J5" s="9"/>
      <c r="K5" s="9"/>
      <c r="L5" s="9"/>
      <c r="M5" s="9"/>
      <c r="N5" s="6"/>
    </row>
    <row r="6" spans="1:14" ht="15.75">
      <c r="A6" s="7"/>
      <c r="B6" s="12" t="s">
        <v>3</v>
      </c>
      <c r="C6" s="13"/>
      <c r="D6" s="9"/>
      <c r="E6" s="9"/>
      <c r="F6" s="9"/>
      <c r="G6" s="9"/>
      <c r="H6" s="9"/>
      <c r="I6" s="9"/>
      <c r="J6" s="9"/>
      <c r="K6" s="9"/>
      <c r="L6" s="9"/>
      <c r="M6" s="9"/>
      <c r="N6" s="6"/>
    </row>
    <row r="7" spans="1:14" ht="15.75">
      <c r="A7" s="7"/>
      <c r="B7" s="12" t="s">
        <v>4</v>
      </c>
      <c r="C7" s="13"/>
      <c r="D7" s="9"/>
      <c r="E7" s="9"/>
      <c r="F7" s="9"/>
      <c r="G7" s="9"/>
      <c r="H7" s="9"/>
      <c r="I7" s="9"/>
      <c r="J7" s="9"/>
      <c r="K7" s="9"/>
      <c r="L7" s="9"/>
      <c r="M7" s="9"/>
      <c r="N7" s="6"/>
    </row>
    <row r="8" spans="1:14" ht="15.75">
      <c r="A8" s="7"/>
      <c r="B8" s="14"/>
      <c r="C8" s="13"/>
      <c r="D8" s="9"/>
      <c r="E8" s="9"/>
      <c r="F8" s="9"/>
      <c r="G8" s="9"/>
      <c r="H8" s="9"/>
      <c r="I8" s="9"/>
      <c r="J8" s="9"/>
      <c r="K8" s="9"/>
      <c r="L8" s="9"/>
      <c r="M8" s="9"/>
      <c r="N8" s="6"/>
    </row>
    <row r="9" spans="1:14" ht="15.75">
      <c r="A9" s="7"/>
      <c r="B9" s="13"/>
      <c r="C9" s="13"/>
      <c r="D9" s="15"/>
      <c r="E9" s="15"/>
      <c r="F9" s="9"/>
      <c r="G9" s="9"/>
      <c r="H9" s="9"/>
      <c r="I9" s="9"/>
      <c r="J9" s="9"/>
      <c r="K9" s="9"/>
      <c r="L9" s="9"/>
      <c r="M9" s="9"/>
      <c r="N9" s="6"/>
    </row>
    <row r="10" spans="1:14" ht="15.75">
      <c r="A10" s="7"/>
      <c r="B10" s="15" t="s">
        <v>5</v>
      </c>
      <c r="C10" s="15"/>
      <c r="D10" s="9"/>
      <c r="E10" s="9"/>
      <c r="F10" s="9"/>
      <c r="G10" s="9"/>
      <c r="H10" s="9"/>
      <c r="I10" s="9"/>
      <c r="J10" s="9"/>
      <c r="K10" s="9"/>
      <c r="L10" s="9"/>
      <c r="M10" s="9"/>
      <c r="N10" s="6"/>
    </row>
    <row r="11" spans="1:14" ht="15.75">
      <c r="A11" s="7"/>
      <c r="B11" s="15"/>
      <c r="C11" s="15"/>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6" t="s">
        <v>6</v>
      </c>
      <c r="C13" s="16"/>
      <c r="D13" s="17"/>
      <c r="E13" s="17"/>
      <c r="F13" s="17"/>
      <c r="G13" s="17"/>
      <c r="H13" s="17"/>
      <c r="I13" s="17"/>
      <c r="J13" s="17"/>
      <c r="K13" s="17"/>
      <c r="L13" s="18" t="s">
        <v>186</v>
      </c>
      <c r="M13" s="9"/>
      <c r="N13" s="6"/>
    </row>
    <row r="14" spans="1:14" ht="15.75">
      <c r="A14" s="7"/>
      <c r="B14" s="16" t="s">
        <v>7</v>
      </c>
      <c r="C14" s="16"/>
      <c r="D14" s="19" t="s">
        <v>140</v>
      </c>
      <c r="E14" s="20">
        <v>0.348</v>
      </c>
      <c r="F14" s="19" t="s">
        <v>150</v>
      </c>
      <c r="G14" s="20">
        <v>0.229</v>
      </c>
      <c r="H14" s="19" t="s">
        <v>156</v>
      </c>
      <c r="I14" s="20">
        <v>0.098</v>
      </c>
      <c r="J14" s="19" t="s">
        <v>165</v>
      </c>
      <c r="K14" s="20">
        <v>0.1</v>
      </c>
      <c r="L14" s="18"/>
      <c r="M14" s="17"/>
      <c r="N14" s="6"/>
    </row>
    <row r="15" spans="1:14" ht="15.75">
      <c r="A15" s="7"/>
      <c r="B15" s="16" t="s">
        <v>8</v>
      </c>
      <c r="C15" s="16"/>
      <c r="D15" s="19" t="s">
        <v>140</v>
      </c>
      <c r="E15" s="20">
        <f>E177/($J$195+$L$93)</f>
        <v>0.2377951572259869</v>
      </c>
      <c r="F15" s="19" t="s">
        <v>150</v>
      </c>
      <c r="G15" s="20">
        <f>J177/($J$195+$L$93)</f>
        <v>0.11700271768154469</v>
      </c>
      <c r="H15" s="19" t="s">
        <v>156</v>
      </c>
      <c r="I15" s="20">
        <f>E187/($J$195+$L$93)</f>
        <v>0.18194620810240952</v>
      </c>
      <c r="J15" s="19" t="s">
        <v>165</v>
      </c>
      <c r="K15" s="20">
        <f>J187/($J$195+$L$93)</f>
        <v>0.26715165612427755</v>
      </c>
      <c r="L15" s="18"/>
      <c r="M15" s="17"/>
      <c r="N15" s="6"/>
    </row>
    <row r="16" spans="1:14" ht="15.75">
      <c r="A16" s="7"/>
      <c r="B16" s="16" t="s">
        <v>9</v>
      </c>
      <c r="C16" s="16"/>
      <c r="D16" s="17"/>
      <c r="E16" s="17"/>
      <c r="F16" s="17"/>
      <c r="G16" s="17"/>
      <c r="H16" s="17"/>
      <c r="I16" s="17"/>
      <c r="J16" s="17"/>
      <c r="K16" s="17"/>
      <c r="L16" s="178">
        <v>37070</v>
      </c>
      <c r="M16" s="9"/>
      <c r="N16" s="6"/>
    </row>
    <row r="17" spans="1:14" ht="15.75">
      <c r="A17" s="7"/>
      <c r="B17" s="16" t="s">
        <v>10</v>
      </c>
      <c r="C17" s="16"/>
      <c r="D17" s="17"/>
      <c r="E17" s="17"/>
      <c r="F17" s="17"/>
      <c r="G17" s="17"/>
      <c r="H17" s="17"/>
      <c r="I17" s="17"/>
      <c r="J17" s="17"/>
      <c r="K17" s="17"/>
      <c r="L17" s="21">
        <v>37606</v>
      </c>
      <c r="M17" s="9"/>
      <c r="N17" s="6"/>
    </row>
    <row r="18" spans="1:14" ht="15.75">
      <c r="A18" s="7"/>
      <c r="B18" s="9"/>
      <c r="C18" s="9"/>
      <c r="D18" s="9"/>
      <c r="E18" s="9"/>
      <c r="F18" s="9"/>
      <c r="G18" s="9"/>
      <c r="H18" s="9"/>
      <c r="I18" s="9"/>
      <c r="J18" s="9"/>
      <c r="K18" s="9"/>
      <c r="L18" s="22"/>
      <c r="M18" s="9"/>
      <c r="N18" s="6"/>
    </row>
    <row r="19" spans="1:14" ht="15.75">
      <c r="A19" s="7"/>
      <c r="B19" s="23" t="s">
        <v>11</v>
      </c>
      <c r="C19" s="9"/>
      <c r="D19" s="9"/>
      <c r="E19" s="9"/>
      <c r="F19" s="9"/>
      <c r="G19" s="9"/>
      <c r="H19" s="9"/>
      <c r="I19" s="9"/>
      <c r="J19" s="22"/>
      <c r="K19" s="9"/>
      <c r="L19" s="14"/>
      <c r="M19" s="9"/>
      <c r="N19" s="6"/>
    </row>
    <row r="20" spans="1:14" ht="15.75">
      <c r="A20" s="7"/>
      <c r="B20" s="9"/>
      <c r="C20" s="9"/>
      <c r="D20" s="9"/>
      <c r="E20" s="9"/>
      <c r="F20" s="9"/>
      <c r="G20" s="9"/>
      <c r="H20" s="9"/>
      <c r="I20" s="9"/>
      <c r="J20" s="9"/>
      <c r="K20" s="9"/>
      <c r="L20" s="24"/>
      <c r="M20" s="9"/>
      <c r="N20" s="6"/>
    </row>
    <row r="21" spans="1:14" ht="15.75">
      <c r="A21" s="7"/>
      <c r="B21" s="9"/>
      <c r="C21" s="159" t="s">
        <v>137</v>
      </c>
      <c r="D21" s="161" t="s">
        <v>142</v>
      </c>
      <c r="E21" s="161"/>
      <c r="F21" s="161" t="s">
        <v>158</v>
      </c>
      <c r="G21" s="161"/>
      <c r="H21" s="161" t="s">
        <v>169</v>
      </c>
      <c r="I21" s="26"/>
      <c r="J21" s="27"/>
      <c r="K21" s="14"/>
      <c r="L21" s="14"/>
      <c r="M21" s="9"/>
      <c r="N21" s="6"/>
    </row>
    <row r="22" spans="1:14" ht="15.75">
      <c r="A22" s="28"/>
      <c r="B22" s="29" t="s">
        <v>12</v>
      </c>
      <c r="C22" s="160" t="s">
        <v>138</v>
      </c>
      <c r="D22" s="31" t="s">
        <v>143</v>
      </c>
      <c r="E22" s="31"/>
      <c r="F22" s="31" t="s">
        <v>159</v>
      </c>
      <c r="G22" s="31"/>
      <c r="H22" s="31" t="s">
        <v>170</v>
      </c>
      <c r="I22" s="31"/>
      <c r="J22" s="31"/>
      <c r="K22" s="32"/>
      <c r="L22" s="32"/>
      <c r="M22" s="29"/>
      <c r="N22" s="6"/>
    </row>
    <row r="23" spans="1:14" ht="15.75">
      <c r="A23" s="28"/>
      <c r="B23" s="29" t="s">
        <v>13</v>
      </c>
      <c r="C23" s="30"/>
      <c r="D23" s="31" t="s">
        <v>144</v>
      </c>
      <c r="E23" s="31"/>
      <c r="F23" s="31" t="s">
        <v>160</v>
      </c>
      <c r="G23" s="31"/>
      <c r="H23" s="31" t="s">
        <v>171</v>
      </c>
      <c r="I23" s="31"/>
      <c r="J23" s="31"/>
      <c r="K23" s="32"/>
      <c r="L23" s="32"/>
      <c r="M23" s="29"/>
      <c r="N23" s="6"/>
    </row>
    <row r="24" spans="1:14" ht="15.75">
      <c r="A24" s="28"/>
      <c r="B24" s="33" t="s">
        <v>14</v>
      </c>
      <c r="C24" s="33"/>
      <c r="D24" s="34" t="s">
        <v>143</v>
      </c>
      <c r="E24" s="34"/>
      <c r="F24" s="34" t="s">
        <v>159</v>
      </c>
      <c r="G24" s="34"/>
      <c r="H24" s="34" t="s">
        <v>170</v>
      </c>
      <c r="I24" s="34"/>
      <c r="J24" s="34"/>
      <c r="K24" s="35"/>
      <c r="L24" s="32"/>
      <c r="M24" s="29"/>
      <c r="N24" s="6"/>
    </row>
    <row r="25" spans="1:14" ht="15.75">
      <c r="A25" s="28"/>
      <c r="B25" s="33" t="s">
        <v>15</v>
      </c>
      <c r="C25" s="33"/>
      <c r="D25" s="34" t="s">
        <v>144</v>
      </c>
      <c r="E25" s="34"/>
      <c r="F25" s="34" t="s">
        <v>160</v>
      </c>
      <c r="G25" s="34"/>
      <c r="H25" s="34" t="s">
        <v>171</v>
      </c>
      <c r="I25" s="34"/>
      <c r="J25" s="34"/>
      <c r="K25" s="35"/>
      <c r="L25" s="32"/>
      <c r="M25" s="29"/>
      <c r="N25" s="6"/>
    </row>
    <row r="26" spans="1:14" ht="15.75">
      <c r="A26" s="28"/>
      <c r="B26" s="29" t="s">
        <v>16</v>
      </c>
      <c r="C26" s="29"/>
      <c r="D26" s="36" t="s">
        <v>145</v>
      </c>
      <c r="E26" s="31"/>
      <c r="F26" s="36" t="s">
        <v>161</v>
      </c>
      <c r="G26" s="31"/>
      <c r="H26" s="36" t="s">
        <v>172</v>
      </c>
      <c r="I26" s="31"/>
      <c r="J26" s="36"/>
      <c r="K26" s="32"/>
      <c r="L26" s="32"/>
      <c r="M26" s="29"/>
      <c r="N26" s="6"/>
    </row>
    <row r="27" spans="1:14" ht="15.75">
      <c r="A27" s="28"/>
      <c r="B27" s="29"/>
      <c r="C27" s="29"/>
      <c r="D27" s="29"/>
      <c r="E27" s="31"/>
      <c r="F27" s="31"/>
      <c r="G27" s="31"/>
      <c r="H27" s="31"/>
      <c r="I27" s="31"/>
      <c r="J27" s="31"/>
      <c r="K27" s="32"/>
      <c r="L27" s="32"/>
      <c r="M27" s="29"/>
      <c r="N27" s="6"/>
    </row>
    <row r="28" spans="1:14" ht="15.75">
      <c r="A28" s="28"/>
      <c r="B28" s="29" t="s">
        <v>17</v>
      </c>
      <c r="C28" s="29"/>
      <c r="D28" s="37">
        <v>178210</v>
      </c>
      <c r="E28" s="38"/>
      <c r="F28" s="37">
        <v>51450</v>
      </c>
      <c r="G28" s="37"/>
      <c r="H28" s="37">
        <v>21340</v>
      </c>
      <c r="I28" s="37"/>
      <c r="J28" s="37"/>
      <c r="K28" s="39"/>
      <c r="L28" s="37">
        <f>J28+H28+F28+D28</f>
        <v>251000</v>
      </c>
      <c r="M28" s="40"/>
      <c r="N28" s="6"/>
    </row>
    <row r="29" spans="1:14" ht="15.75">
      <c r="A29" s="28"/>
      <c r="B29" s="29" t="s">
        <v>18</v>
      </c>
      <c r="C29" s="44">
        <v>1</v>
      </c>
      <c r="D29" s="37">
        <v>178210</v>
      </c>
      <c r="E29" s="38"/>
      <c r="F29" s="37">
        <v>51450</v>
      </c>
      <c r="G29" s="37"/>
      <c r="H29" s="37">
        <v>21340</v>
      </c>
      <c r="I29" s="42"/>
      <c r="J29" s="37"/>
      <c r="K29" s="39"/>
      <c r="L29" s="37">
        <f>J29+H29+F29+D29</f>
        <v>251000</v>
      </c>
      <c r="M29" s="40"/>
      <c r="N29" s="6"/>
    </row>
    <row r="30" spans="1:14" ht="15.75">
      <c r="A30" s="43"/>
      <c r="B30" s="33" t="s">
        <v>19</v>
      </c>
      <c r="C30" s="44">
        <v>1</v>
      </c>
      <c r="D30" s="45">
        <v>178210</v>
      </c>
      <c r="E30" s="46"/>
      <c r="F30" s="45">
        <v>51450</v>
      </c>
      <c r="G30" s="45"/>
      <c r="H30" s="45">
        <v>21340</v>
      </c>
      <c r="I30" s="45"/>
      <c r="J30" s="45"/>
      <c r="K30" s="47"/>
      <c r="L30" s="45">
        <f>J30+H30+F30+D30</f>
        <v>251000</v>
      </c>
      <c r="M30" s="29"/>
      <c r="N30" s="6"/>
    </row>
    <row r="31" spans="1:14" ht="15.75">
      <c r="A31" s="28"/>
      <c r="B31" s="29" t="s">
        <v>20</v>
      </c>
      <c r="C31" s="48"/>
      <c r="D31" s="36" t="s">
        <v>146</v>
      </c>
      <c r="E31" s="29"/>
      <c r="F31" s="36" t="s">
        <v>162</v>
      </c>
      <c r="G31" s="36"/>
      <c r="H31" s="36" t="s">
        <v>173</v>
      </c>
      <c r="I31" s="36"/>
      <c r="J31" s="36"/>
      <c r="K31" s="32"/>
      <c r="L31" s="32"/>
      <c r="M31" s="29"/>
      <c r="N31" s="6"/>
    </row>
    <row r="32" spans="1:14" ht="15.75">
      <c r="A32" s="28"/>
      <c r="B32" s="29" t="s">
        <v>21</v>
      </c>
      <c r="C32" s="48"/>
      <c r="D32" s="49">
        <v>0.0429</v>
      </c>
      <c r="E32" s="50"/>
      <c r="F32" s="49">
        <v>0.0485</v>
      </c>
      <c r="G32" s="49"/>
      <c r="H32" s="49">
        <v>0.0625</v>
      </c>
      <c r="I32" s="51"/>
      <c r="J32" s="49"/>
      <c r="K32" s="32"/>
      <c r="L32" s="51">
        <f>SUMPRODUCT(D32:J32,D30:J30)/L30</f>
        <v>0.04571427888446215</v>
      </c>
      <c r="M32" s="29"/>
      <c r="N32" s="6"/>
    </row>
    <row r="33" spans="1:14" ht="15.75">
      <c r="A33" s="28"/>
      <c r="B33" s="29" t="s">
        <v>22</v>
      </c>
      <c r="C33" s="48"/>
      <c r="D33" s="49">
        <v>0.0447594</v>
      </c>
      <c r="E33" s="50"/>
      <c r="F33" s="49">
        <v>0.0503594</v>
      </c>
      <c r="G33" s="49"/>
      <c r="H33" s="49">
        <v>0.0643594</v>
      </c>
      <c r="I33" s="51"/>
      <c r="J33" s="49"/>
      <c r="K33" s="32"/>
      <c r="L33" s="32"/>
      <c r="M33" s="29"/>
      <c r="N33" s="6"/>
    </row>
    <row r="34" spans="1:14" ht="15.75">
      <c r="A34" s="28"/>
      <c r="B34" s="29" t="s">
        <v>23</v>
      </c>
      <c r="C34" s="48"/>
      <c r="D34" s="36" t="s">
        <v>147</v>
      </c>
      <c r="E34" s="29"/>
      <c r="F34" s="36" t="s">
        <v>147</v>
      </c>
      <c r="G34" s="36"/>
      <c r="H34" s="36" t="s">
        <v>147</v>
      </c>
      <c r="I34" s="36"/>
      <c r="J34" s="36"/>
      <c r="K34" s="32"/>
      <c r="L34" s="32"/>
      <c r="M34" s="29"/>
      <c r="N34" s="6"/>
    </row>
    <row r="35" spans="1:14" ht="15.75">
      <c r="A35" s="28"/>
      <c r="B35" s="29" t="s">
        <v>24</v>
      </c>
      <c r="C35" s="29"/>
      <c r="D35" s="52">
        <v>39248</v>
      </c>
      <c r="E35" s="29"/>
      <c r="F35" s="52">
        <v>39248</v>
      </c>
      <c r="G35" s="52"/>
      <c r="H35" s="52">
        <v>39248</v>
      </c>
      <c r="I35" s="36"/>
      <c r="J35" s="36"/>
      <c r="K35" s="32"/>
      <c r="L35" s="32"/>
      <c r="M35" s="29"/>
      <c r="N35" s="6"/>
    </row>
    <row r="36" spans="1:14" ht="15.75">
      <c r="A36" s="28"/>
      <c r="B36" s="29" t="s">
        <v>25</v>
      </c>
      <c r="C36" s="29"/>
      <c r="D36" s="36" t="s">
        <v>148</v>
      </c>
      <c r="E36" s="29"/>
      <c r="F36" s="36" t="s">
        <v>163</v>
      </c>
      <c r="G36" s="36"/>
      <c r="H36" s="36" t="s">
        <v>174</v>
      </c>
      <c r="I36" s="36"/>
      <c r="J36" s="36"/>
      <c r="K36" s="32"/>
      <c r="L36" s="32"/>
      <c r="M36" s="29"/>
      <c r="N36" s="6"/>
    </row>
    <row r="37" spans="1:14" ht="15.75">
      <c r="A37" s="28"/>
      <c r="B37" s="29"/>
      <c r="C37" s="29"/>
      <c r="D37" s="53"/>
      <c r="E37" s="53"/>
      <c r="F37" s="29"/>
      <c r="G37" s="53"/>
      <c r="H37" s="53"/>
      <c r="I37" s="53"/>
      <c r="J37" s="53"/>
      <c r="K37" s="53"/>
      <c r="L37" s="53"/>
      <c r="M37" s="29"/>
      <c r="N37" s="6"/>
    </row>
    <row r="38" spans="1:14" ht="15.75">
      <c r="A38" s="28"/>
      <c r="B38" s="29" t="s">
        <v>26</v>
      </c>
      <c r="C38" s="29"/>
      <c r="D38" s="29"/>
      <c r="E38" s="29"/>
      <c r="F38" s="50"/>
      <c r="G38" s="29"/>
      <c r="H38" s="50"/>
      <c r="I38" s="29"/>
      <c r="J38" s="29"/>
      <c r="K38" s="29"/>
      <c r="L38" s="51">
        <f>(H28+F28)/(D28)</f>
        <v>0.4084507042253521</v>
      </c>
      <c r="M38" s="29"/>
      <c r="N38" s="6"/>
    </row>
    <row r="39" spans="1:14" ht="15.75">
      <c r="A39" s="28"/>
      <c r="B39" s="29" t="s">
        <v>27</v>
      </c>
      <c r="C39" s="29"/>
      <c r="D39" s="29"/>
      <c r="E39" s="29"/>
      <c r="F39" s="50"/>
      <c r="G39" s="29"/>
      <c r="H39" s="50"/>
      <c r="I39" s="29"/>
      <c r="J39" s="29"/>
      <c r="K39" s="29"/>
      <c r="L39" s="51">
        <f>(H30+F30)/(D30)</f>
        <v>0.4084507042253521</v>
      </c>
      <c r="M39" s="29"/>
      <c r="N39" s="6"/>
    </row>
    <row r="40" spans="1:14" ht="15.75">
      <c r="A40" s="28"/>
      <c r="B40" s="29" t="s">
        <v>28</v>
      </c>
      <c r="C40" s="29"/>
      <c r="D40" s="29"/>
      <c r="E40" s="29"/>
      <c r="F40" s="29"/>
      <c r="G40" s="29"/>
      <c r="H40" s="29"/>
      <c r="I40" s="29"/>
      <c r="J40" s="36" t="s">
        <v>142</v>
      </c>
      <c r="K40" s="36" t="s">
        <v>185</v>
      </c>
      <c r="L40" s="37">
        <v>38766</v>
      </c>
      <c r="M40" s="29"/>
      <c r="N40" s="6"/>
    </row>
    <row r="41" spans="1:14" ht="15.75">
      <c r="A41" s="28"/>
      <c r="B41" s="29"/>
      <c r="C41" s="29"/>
      <c r="D41" s="29"/>
      <c r="E41" s="29"/>
      <c r="F41" s="29"/>
      <c r="G41" s="29"/>
      <c r="H41" s="29"/>
      <c r="I41" s="29"/>
      <c r="J41" s="29" t="s">
        <v>177</v>
      </c>
      <c r="K41" s="29"/>
      <c r="L41" s="54"/>
      <c r="M41" s="29"/>
      <c r="N41" s="6"/>
    </row>
    <row r="42" spans="1:14" ht="15.75">
      <c r="A42" s="28"/>
      <c r="B42" s="29" t="s">
        <v>29</v>
      </c>
      <c r="C42" s="29"/>
      <c r="D42" s="29"/>
      <c r="E42" s="29"/>
      <c r="F42" s="29"/>
      <c r="G42" s="29"/>
      <c r="H42" s="29"/>
      <c r="I42" s="29"/>
      <c r="J42" s="36"/>
      <c r="K42" s="36"/>
      <c r="L42" s="36" t="s">
        <v>187</v>
      </c>
      <c r="M42" s="29"/>
      <c r="N42" s="6"/>
    </row>
    <row r="43" spans="1:14" ht="15.75">
      <c r="A43" s="43"/>
      <c r="B43" s="33" t="s">
        <v>30</v>
      </c>
      <c r="C43" s="33"/>
      <c r="D43" s="33"/>
      <c r="E43" s="33"/>
      <c r="F43" s="33"/>
      <c r="G43" s="33"/>
      <c r="H43" s="33"/>
      <c r="I43" s="33"/>
      <c r="J43" s="55"/>
      <c r="K43" s="55"/>
      <c r="L43" s="56">
        <v>37606</v>
      </c>
      <c r="M43" s="33"/>
      <c r="N43" s="6"/>
    </row>
    <row r="44" spans="1:14" ht="15.75">
      <c r="A44" s="28"/>
      <c r="B44" s="29" t="s">
        <v>31</v>
      </c>
      <c r="C44" s="29"/>
      <c r="D44" s="29"/>
      <c r="E44" s="29"/>
      <c r="F44" s="29"/>
      <c r="G44" s="29"/>
      <c r="H44" s="32"/>
      <c r="I44" s="29">
        <f>L44-J44+1</f>
        <v>91</v>
      </c>
      <c r="J44" s="58">
        <v>37424</v>
      </c>
      <c r="K44" s="59"/>
      <c r="L44" s="58">
        <v>37514</v>
      </c>
      <c r="M44" s="29"/>
      <c r="N44" s="6"/>
    </row>
    <row r="45" spans="1:14" ht="15.75">
      <c r="A45" s="28"/>
      <c r="B45" s="29" t="s">
        <v>32</v>
      </c>
      <c r="C45" s="29"/>
      <c r="D45" s="29"/>
      <c r="E45" s="29"/>
      <c r="F45" s="29"/>
      <c r="G45" s="29"/>
      <c r="H45" s="32"/>
      <c r="I45" s="29">
        <f>L45-J45+1</f>
        <v>91</v>
      </c>
      <c r="J45" s="58">
        <v>37515</v>
      </c>
      <c r="K45" s="59"/>
      <c r="L45" s="58">
        <v>37605</v>
      </c>
      <c r="M45" s="29"/>
      <c r="N45" s="6"/>
    </row>
    <row r="46" spans="1:14" ht="15.75">
      <c r="A46" s="28"/>
      <c r="B46" s="29" t="s">
        <v>33</v>
      </c>
      <c r="C46" s="29"/>
      <c r="D46" s="29"/>
      <c r="E46" s="29"/>
      <c r="F46" s="29"/>
      <c r="G46" s="29"/>
      <c r="H46" s="29"/>
      <c r="I46" s="29"/>
      <c r="J46" s="58"/>
      <c r="K46" s="59"/>
      <c r="L46" s="58" t="s">
        <v>188</v>
      </c>
      <c r="M46" s="29"/>
      <c r="N46" s="6"/>
    </row>
    <row r="47" spans="1:14" ht="15.75">
      <c r="A47" s="28"/>
      <c r="B47" s="29" t="s">
        <v>34</v>
      </c>
      <c r="C47" s="29"/>
      <c r="D47" s="29"/>
      <c r="E47" s="29"/>
      <c r="F47" s="29"/>
      <c r="G47" s="29"/>
      <c r="H47" s="29"/>
      <c r="I47" s="29"/>
      <c r="J47" s="58"/>
      <c r="K47" s="59"/>
      <c r="L47" s="58">
        <v>37595</v>
      </c>
      <c r="M47" s="29"/>
      <c r="N47" s="6"/>
    </row>
    <row r="48" spans="1:14" ht="15.75">
      <c r="A48" s="28"/>
      <c r="B48" s="29"/>
      <c r="C48" s="29"/>
      <c r="D48" s="29"/>
      <c r="E48" s="29"/>
      <c r="F48" s="29"/>
      <c r="G48" s="29"/>
      <c r="H48" s="29"/>
      <c r="I48" s="29"/>
      <c r="J48" s="29"/>
      <c r="K48" s="29"/>
      <c r="L48" s="60"/>
      <c r="M48" s="29"/>
      <c r="N48" s="6"/>
    </row>
    <row r="49" spans="1:14" ht="15.75">
      <c r="A49" s="7"/>
      <c r="B49" s="9"/>
      <c r="C49" s="9"/>
      <c r="D49" s="9"/>
      <c r="E49" s="9"/>
      <c r="F49" s="9"/>
      <c r="G49" s="9"/>
      <c r="H49" s="9"/>
      <c r="I49" s="9"/>
      <c r="J49" s="9"/>
      <c r="K49" s="9"/>
      <c r="L49" s="61"/>
      <c r="M49" s="9"/>
      <c r="N49" s="6"/>
    </row>
    <row r="50" spans="1:14" ht="16.5" thickBot="1">
      <c r="A50" s="144"/>
      <c r="B50" s="145" t="s">
        <v>196</v>
      </c>
      <c r="C50" s="146"/>
      <c r="D50" s="146"/>
      <c r="E50" s="146"/>
      <c r="F50" s="146"/>
      <c r="G50" s="146"/>
      <c r="H50" s="146"/>
      <c r="I50" s="146"/>
      <c r="J50" s="146"/>
      <c r="K50" s="146"/>
      <c r="L50" s="147"/>
      <c r="M50" s="148"/>
      <c r="N50" s="6"/>
    </row>
    <row r="51" spans="1:14" ht="15.75">
      <c r="A51" s="2"/>
      <c r="B51" s="5"/>
      <c r="C51" s="5"/>
      <c r="D51" s="5"/>
      <c r="E51" s="5"/>
      <c r="F51" s="5"/>
      <c r="G51" s="5"/>
      <c r="H51" s="5"/>
      <c r="I51" s="5"/>
      <c r="J51" s="5"/>
      <c r="K51" s="5"/>
      <c r="L51" s="62"/>
      <c r="M51" s="5"/>
      <c r="N51" s="6"/>
    </row>
    <row r="52" spans="1:14" ht="15.75">
      <c r="A52" s="7"/>
      <c r="B52" s="63" t="s">
        <v>36</v>
      </c>
      <c r="C52" s="15"/>
      <c r="D52" s="9"/>
      <c r="E52" s="9"/>
      <c r="F52" s="9"/>
      <c r="G52" s="9"/>
      <c r="H52" s="9"/>
      <c r="I52" s="9"/>
      <c r="J52" s="9"/>
      <c r="K52" s="9"/>
      <c r="L52" s="64"/>
      <c r="M52" s="9"/>
      <c r="N52" s="6"/>
    </row>
    <row r="53" spans="1:14" ht="15.75">
      <c r="A53" s="7"/>
      <c r="B53" s="15"/>
      <c r="C53" s="15"/>
      <c r="D53" s="9"/>
      <c r="E53" s="9"/>
      <c r="F53" s="9"/>
      <c r="G53" s="9"/>
      <c r="H53" s="9"/>
      <c r="I53" s="9"/>
      <c r="J53" s="9"/>
      <c r="K53" s="9"/>
      <c r="L53" s="64"/>
      <c r="M53" s="9"/>
      <c r="N53" s="6"/>
    </row>
    <row r="54" spans="1:14" s="176" customFormat="1" ht="47.25">
      <c r="A54" s="170"/>
      <c r="B54" s="171"/>
      <c r="C54" s="172" t="s">
        <v>139</v>
      </c>
      <c r="D54" s="172" t="s">
        <v>149</v>
      </c>
      <c r="E54" s="172"/>
      <c r="F54" s="172" t="s">
        <v>164</v>
      </c>
      <c r="G54" s="172"/>
      <c r="H54" s="172" t="s">
        <v>175</v>
      </c>
      <c r="I54" s="172"/>
      <c r="J54" s="172" t="s">
        <v>178</v>
      </c>
      <c r="K54" s="172"/>
      <c r="L54" s="173" t="s">
        <v>189</v>
      </c>
      <c r="M54" s="174"/>
      <c r="N54" s="175"/>
    </row>
    <row r="55" spans="1:14" ht="15.75">
      <c r="A55" s="28"/>
      <c r="B55" s="29" t="s">
        <v>37</v>
      </c>
      <c r="C55" s="66">
        <f>81776+9633</f>
        <v>91409</v>
      </c>
      <c r="D55" s="66">
        <v>81630</v>
      </c>
      <c r="E55" s="66"/>
      <c r="F55" s="66">
        <f>2288+5171+319</f>
        <v>7778</v>
      </c>
      <c r="G55" s="66"/>
      <c r="H55" s="66">
        <v>6513</v>
      </c>
      <c r="I55" s="66"/>
      <c r="J55" s="66">
        <v>0</v>
      </c>
      <c r="K55" s="66"/>
      <c r="L55" s="67">
        <f>D55-F55+H55-J55</f>
        <v>80365</v>
      </c>
      <c r="M55" s="29"/>
      <c r="N55" s="6"/>
    </row>
    <row r="56" spans="1:14" ht="15.75">
      <c r="A56" s="28"/>
      <c r="B56" s="29" t="s">
        <v>38</v>
      </c>
      <c r="C56" s="66">
        <v>1</v>
      </c>
      <c r="D56" s="66">
        <v>0</v>
      </c>
      <c r="E56" s="66"/>
      <c r="F56" s="66"/>
      <c r="G56" s="66"/>
      <c r="H56" s="66">
        <v>0</v>
      </c>
      <c r="I56" s="66"/>
      <c r="J56" s="66">
        <v>0</v>
      </c>
      <c r="K56" s="66"/>
      <c r="L56" s="67">
        <f>D56-F56</f>
        <v>0</v>
      </c>
      <c r="M56" s="29"/>
      <c r="N56" s="6"/>
    </row>
    <row r="57" spans="1:14" ht="15.75">
      <c r="A57" s="28"/>
      <c r="B57" s="29"/>
      <c r="C57" s="66"/>
      <c r="D57" s="66"/>
      <c r="E57" s="66"/>
      <c r="F57" s="66"/>
      <c r="G57" s="66"/>
      <c r="H57" s="66"/>
      <c r="I57" s="66"/>
      <c r="J57" s="66"/>
      <c r="K57" s="66"/>
      <c r="L57" s="67"/>
      <c r="M57" s="29"/>
      <c r="N57" s="6"/>
    </row>
    <row r="58" spans="1:14" ht="15.75">
      <c r="A58" s="28"/>
      <c r="B58" s="29" t="s">
        <v>39</v>
      </c>
      <c r="C58" s="66">
        <f>59449+801</f>
        <v>60250</v>
      </c>
      <c r="D58" s="66">
        <v>34928</v>
      </c>
      <c r="E58" s="66"/>
      <c r="F58" s="66">
        <v>11855</v>
      </c>
      <c r="G58" s="66"/>
      <c r="H58" s="66">
        <v>8935</v>
      </c>
      <c r="I58" s="66"/>
      <c r="J58" s="66">
        <f>SUM(J55:J57)</f>
        <v>0</v>
      </c>
      <c r="K58" s="66"/>
      <c r="L58" s="67">
        <f>D58-F58+H58-J58</f>
        <v>32008</v>
      </c>
      <c r="M58" s="29"/>
      <c r="N58" s="6"/>
    </row>
    <row r="59" spans="1:14" ht="15.75">
      <c r="A59" s="28"/>
      <c r="B59" s="29" t="s">
        <v>38</v>
      </c>
      <c r="C59" s="66">
        <v>136</v>
      </c>
      <c r="D59" s="66"/>
      <c r="E59" s="66"/>
      <c r="F59" s="66"/>
      <c r="G59" s="66"/>
      <c r="H59" s="66">
        <v>0</v>
      </c>
      <c r="I59" s="66"/>
      <c r="J59" s="66">
        <v>0</v>
      </c>
      <c r="K59" s="66"/>
      <c r="L59" s="68"/>
      <c r="M59" s="29"/>
      <c r="N59" s="6"/>
    </row>
    <row r="60" spans="1:14" ht="15.75">
      <c r="A60" s="28"/>
      <c r="B60" s="69"/>
      <c r="C60" s="66"/>
      <c r="D60" s="66"/>
      <c r="E60" s="66"/>
      <c r="F60" s="70"/>
      <c r="G60" s="66"/>
      <c r="H60" s="66"/>
      <c r="I60" s="66"/>
      <c r="J60" s="66"/>
      <c r="K60" s="66"/>
      <c r="L60" s="68"/>
      <c r="M60" s="29"/>
      <c r="N60" s="6"/>
    </row>
    <row r="61" spans="1:14" ht="15.75">
      <c r="A61" s="28"/>
      <c r="B61" s="29" t="s">
        <v>40</v>
      </c>
      <c r="C61" s="66">
        <v>25730</v>
      </c>
      <c r="D61" s="66">
        <v>55910</v>
      </c>
      <c r="E61" s="66"/>
      <c r="F61" s="66">
        <f>9795+114</f>
        <v>9909</v>
      </c>
      <c r="G61" s="66"/>
      <c r="H61" s="66">
        <v>0</v>
      </c>
      <c r="I61" s="66"/>
      <c r="J61" s="66">
        <v>0</v>
      </c>
      <c r="K61" s="66"/>
      <c r="L61" s="67">
        <f>D61-F61+H61-J61</f>
        <v>46001</v>
      </c>
      <c r="M61" s="29"/>
      <c r="N61" s="6"/>
    </row>
    <row r="62" spans="1:14" ht="15.75">
      <c r="A62" s="28"/>
      <c r="B62" s="29" t="s">
        <v>38</v>
      </c>
      <c r="C62" s="66">
        <v>260</v>
      </c>
      <c r="D62" s="67">
        <v>0</v>
      </c>
      <c r="E62" s="66"/>
      <c r="F62" s="66"/>
      <c r="G62" s="66"/>
      <c r="H62" s="66">
        <v>0</v>
      </c>
      <c r="I62" s="66"/>
      <c r="J62" s="66">
        <v>0</v>
      </c>
      <c r="K62" s="66"/>
      <c r="L62" s="67">
        <f>D62-F62+H62-J62</f>
        <v>0</v>
      </c>
      <c r="M62" s="29"/>
      <c r="N62" s="6"/>
    </row>
    <row r="63" spans="1:14" ht="15.75">
      <c r="A63" s="28"/>
      <c r="B63" s="29"/>
      <c r="C63" s="66"/>
      <c r="D63" s="67"/>
      <c r="E63" s="66"/>
      <c r="F63" s="66"/>
      <c r="G63" s="66"/>
      <c r="H63" s="66"/>
      <c r="I63" s="66"/>
      <c r="J63" s="66"/>
      <c r="K63" s="66"/>
      <c r="L63" s="67"/>
      <c r="M63" s="29"/>
      <c r="N63" s="6"/>
    </row>
    <row r="64" spans="1:14" ht="15.75">
      <c r="A64" s="28"/>
      <c r="B64" s="29" t="s">
        <v>41</v>
      </c>
      <c r="C64" s="66">
        <v>26410</v>
      </c>
      <c r="D64" s="67">
        <v>56059</v>
      </c>
      <c r="E64" s="66"/>
      <c r="F64" s="66">
        <f>7949+179</f>
        <v>8128</v>
      </c>
      <c r="G64" s="66"/>
      <c r="H64" s="66">
        <v>19648</v>
      </c>
      <c r="I64" s="66"/>
      <c r="J64" s="66">
        <v>0</v>
      </c>
      <c r="K64" s="66"/>
      <c r="L64" s="67">
        <f>D64-F64+H64-J64</f>
        <v>67579</v>
      </c>
      <c r="M64" s="29"/>
      <c r="N64" s="6"/>
    </row>
    <row r="65" spans="1:14" ht="15.75">
      <c r="A65" s="28"/>
      <c r="B65" s="29" t="s">
        <v>38</v>
      </c>
      <c r="C65" s="66">
        <v>229</v>
      </c>
      <c r="D65" s="67"/>
      <c r="E65" s="66"/>
      <c r="F65" s="66"/>
      <c r="G65" s="66"/>
      <c r="H65" s="66">
        <v>0</v>
      </c>
      <c r="I65" s="66"/>
      <c r="J65" s="66">
        <v>0</v>
      </c>
      <c r="K65" s="66"/>
      <c r="L65" s="67"/>
      <c r="M65" s="29"/>
      <c r="N65" s="6"/>
    </row>
    <row r="66" spans="1:14" ht="15.75">
      <c r="A66" s="28"/>
      <c r="B66" s="66"/>
      <c r="C66" s="66"/>
      <c r="D66" s="67"/>
      <c r="E66" s="66"/>
      <c r="F66" s="66"/>
      <c r="G66" s="66"/>
      <c r="H66" s="66"/>
      <c r="I66" s="66"/>
      <c r="J66" s="66"/>
      <c r="K66" s="66"/>
      <c r="L66" s="67"/>
      <c r="M66" s="29"/>
      <c r="N66" s="6"/>
    </row>
    <row r="67" spans="1:14" ht="15.75">
      <c r="A67" s="28"/>
      <c r="B67" s="29" t="s">
        <v>42</v>
      </c>
      <c r="C67" s="66">
        <f>SUM(C55:C65)</f>
        <v>204425</v>
      </c>
      <c r="D67" s="66">
        <f>SUM(D55:D64)</f>
        <v>228527</v>
      </c>
      <c r="E67" s="66"/>
      <c r="F67" s="66">
        <f>SUM(F55:F65)</f>
        <v>37670</v>
      </c>
      <c r="G67" s="66"/>
      <c r="H67" s="66">
        <f>SUM(H55:H65)</f>
        <v>35096</v>
      </c>
      <c r="I67" s="66"/>
      <c r="J67" s="66">
        <f>SUM(J62:J66)</f>
        <v>0</v>
      </c>
      <c r="K67" s="66"/>
      <c r="L67" s="66">
        <f>SUM(L55:L66)</f>
        <v>225953</v>
      </c>
      <c r="M67" s="29"/>
      <c r="N67" s="6"/>
    </row>
    <row r="68" spans="1:14" ht="15.75">
      <c r="A68" s="28"/>
      <c r="B68" s="29"/>
      <c r="C68" s="66"/>
      <c r="D68" s="68"/>
      <c r="E68" s="66"/>
      <c r="F68" s="66"/>
      <c r="G68" s="66"/>
      <c r="H68" s="66"/>
      <c r="I68" s="66"/>
      <c r="J68" s="66"/>
      <c r="K68" s="66"/>
      <c r="L68" s="68"/>
      <c r="M68" s="29"/>
      <c r="N68" s="6"/>
    </row>
    <row r="69" spans="1:14" ht="15.75">
      <c r="A69" s="28"/>
      <c r="B69" s="29" t="s">
        <v>43</v>
      </c>
      <c r="C69" s="66">
        <f>-1789-10434</f>
        <v>-12223</v>
      </c>
      <c r="D69" s="66">
        <v>-23316</v>
      </c>
      <c r="E69" s="66"/>
      <c r="F69" s="66">
        <f>13-66+6+1045+207+1</f>
        <v>1206</v>
      </c>
      <c r="G69" s="66"/>
      <c r="H69" s="66"/>
      <c r="I69" s="66"/>
      <c r="J69" s="66"/>
      <c r="K69" s="66"/>
      <c r="L69" s="66">
        <f>D69-F69</f>
        <v>-24522</v>
      </c>
      <c r="M69" s="29"/>
      <c r="N69" s="6"/>
    </row>
    <row r="70" spans="1:15" ht="15.75">
      <c r="A70" s="28"/>
      <c r="B70" s="29" t="s">
        <v>44</v>
      </c>
      <c r="C70" s="66">
        <v>58798</v>
      </c>
      <c r="D70" s="68">
        <v>45789</v>
      </c>
      <c r="E70" s="66"/>
      <c r="F70" s="66">
        <f>SUM(F67:F69)</f>
        <v>38876</v>
      </c>
      <c r="G70" s="66"/>
      <c r="H70" s="66">
        <f>-H67</f>
        <v>-35096</v>
      </c>
      <c r="I70" s="66"/>
      <c r="J70" s="66"/>
      <c r="K70" s="66"/>
      <c r="L70" s="68">
        <f>D70+F70+H70+D73</f>
        <v>49569</v>
      </c>
      <c r="M70" s="29"/>
      <c r="N70" s="6"/>
      <c r="O70" s="72"/>
    </row>
    <row r="71" spans="1:14" ht="15.75">
      <c r="A71" s="28"/>
      <c r="B71" s="29" t="s">
        <v>45</v>
      </c>
      <c r="C71" s="66">
        <v>0</v>
      </c>
      <c r="D71" s="68">
        <v>0</v>
      </c>
      <c r="E71" s="66"/>
      <c r="F71" s="66"/>
      <c r="G71" s="66"/>
      <c r="H71" s="66">
        <v>0</v>
      </c>
      <c r="I71" s="66"/>
      <c r="J71" s="66"/>
      <c r="K71" s="66"/>
      <c r="L71" s="68">
        <f>H71+D71</f>
        <v>0</v>
      </c>
      <c r="M71" s="29"/>
      <c r="N71" s="6"/>
    </row>
    <row r="72" spans="1:14" ht="15.75">
      <c r="A72" s="28"/>
      <c r="B72" s="29" t="s">
        <v>46</v>
      </c>
      <c r="C72" s="66">
        <v>0</v>
      </c>
      <c r="D72" s="68">
        <v>0</v>
      </c>
      <c r="E72" s="66"/>
      <c r="F72" s="66">
        <v>0</v>
      </c>
      <c r="G72" s="66"/>
      <c r="H72" s="66"/>
      <c r="I72" s="66"/>
      <c r="J72" s="66"/>
      <c r="K72" s="66"/>
      <c r="L72" s="68">
        <f>D72+F72+H72</f>
        <v>0</v>
      </c>
      <c r="M72" s="29"/>
      <c r="N72" s="6"/>
    </row>
    <row r="73" spans="1:14" ht="15.75">
      <c r="A73" s="28"/>
      <c r="B73" s="29" t="s">
        <v>47</v>
      </c>
      <c r="C73" s="66">
        <v>0</v>
      </c>
      <c r="D73" s="68">
        <v>0</v>
      </c>
      <c r="E73" s="66"/>
      <c r="F73" s="66"/>
      <c r="G73" s="66"/>
      <c r="H73" s="71"/>
      <c r="I73" s="66"/>
      <c r="J73" s="66"/>
      <c r="K73" s="66"/>
      <c r="L73" s="68">
        <v>0</v>
      </c>
      <c r="M73" s="29"/>
      <c r="N73" s="6"/>
    </row>
    <row r="74" spans="1:14" ht="15.75">
      <c r="A74" s="28"/>
      <c r="B74" s="29" t="s">
        <v>19</v>
      </c>
      <c r="C74" s="68">
        <f>SUM(C67:C73)</f>
        <v>251000</v>
      </c>
      <c r="D74" s="68">
        <f>SUM(D67:D73)</f>
        <v>251000</v>
      </c>
      <c r="E74" s="66"/>
      <c r="F74" s="66">
        <f>F70-F73-F72</f>
        <v>38876</v>
      </c>
      <c r="G74" s="66"/>
      <c r="H74" s="66"/>
      <c r="I74" s="66"/>
      <c r="J74" s="66"/>
      <c r="K74" s="66"/>
      <c r="L74" s="68">
        <f>SUM(L67:L73)</f>
        <v>251000</v>
      </c>
      <c r="M74" s="29"/>
      <c r="N74" s="6"/>
    </row>
    <row r="75" spans="1:14" ht="15.75">
      <c r="A75" s="28"/>
      <c r="B75" s="66"/>
      <c r="C75" s="29"/>
      <c r="D75" s="29"/>
      <c r="E75" s="29"/>
      <c r="F75" s="29"/>
      <c r="G75" s="29"/>
      <c r="H75" s="29"/>
      <c r="I75" s="29"/>
      <c r="J75" s="36"/>
      <c r="K75" s="29"/>
      <c r="L75" s="36"/>
      <c r="M75" s="29"/>
      <c r="N75" s="6"/>
    </row>
    <row r="76" spans="1:14" ht="15.75">
      <c r="A76" s="7"/>
      <c r="B76" s="63" t="s">
        <v>48</v>
      </c>
      <c r="C76" s="16"/>
      <c r="D76" s="16"/>
      <c r="E76" s="16"/>
      <c r="F76" s="16"/>
      <c r="G76" s="16"/>
      <c r="H76" s="16"/>
      <c r="I76" s="19"/>
      <c r="J76" s="19"/>
      <c r="K76" s="19"/>
      <c r="L76" s="19" t="s">
        <v>190</v>
      </c>
      <c r="M76" s="16"/>
      <c r="N76" s="6"/>
    </row>
    <row r="77" spans="1:14" ht="15.75">
      <c r="A77" s="28"/>
      <c r="B77" s="29" t="s">
        <v>49</v>
      </c>
      <c r="C77" s="29"/>
      <c r="D77" s="29"/>
      <c r="E77" s="29"/>
      <c r="F77" s="29"/>
      <c r="G77" s="29"/>
      <c r="H77" s="29"/>
      <c r="I77" s="29"/>
      <c r="J77" s="66"/>
      <c r="K77" s="29"/>
      <c r="L77" s="67">
        <f>65564+42+7+102</f>
        <v>65715</v>
      </c>
      <c r="M77" s="29"/>
      <c r="N77" s="6"/>
    </row>
    <row r="78" spans="1:14" ht="15.75">
      <c r="A78" s="28"/>
      <c r="B78" s="29" t="s">
        <v>50</v>
      </c>
      <c r="C78" s="53"/>
      <c r="D78" s="57"/>
      <c r="E78" s="29"/>
      <c r="F78" s="29"/>
      <c r="G78" s="29"/>
      <c r="H78" s="29"/>
      <c r="I78" s="29"/>
      <c r="J78" s="66"/>
      <c r="K78" s="29"/>
      <c r="L78" s="67">
        <f>902+215+109</f>
        <v>1226</v>
      </c>
      <c r="M78" s="29"/>
      <c r="N78" s="6"/>
    </row>
    <row r="79" spans="1:14" ht="15.75">
      <c r="A79" s="28"/>
      <c r="B79" s="29" t="s">
        <v>51</v>
      </c>
      <c r="C79" s="53"/>
      <c r="D79" s="57"/>
      <c r="E79" s="29"/>
      <c r="F79" s="29"/>
      <c r="G79" s="29"/>
      <c r="H79" s="29"/>
      <c r="I79" s="29"/>
      <c r="J79" s="66"/>
      <c r="K79" s="29"/>
      <c r="L79" s="67">
        <v>-10793</v>
      </c>
      <c r="M79" s="29"/>
      <c r="N79" s="6"/>
    </row>
    <row r="80" spans="1:14" ht="15.75">
      <c r="A80" s="28"/>
      <c r="B80" s="29" t="s">
        <v>192</v>
      </c>
      <c r="C80" s="53"/>
      <c r="D80" s="57"/>
      <c r="E80" s="29"/>
      <c r="F80" s="29"/>
      <c r="G80" s="29"/>
      <c r="H80" s="29"/>
      <c r="I80" s="29"/>
      <c r="J80" s="66"/>
      <c r="K80" s="29"/>
      <c r="L80" s="67">
        <v>-7</v>
      </c>
      <c r="M80" s="29"/>
      <c r="N80" s="6"/>
    </row>
    <row r="81" spans="1:14" ht="15.75">
      <c r="A81" s="28"/>
      <c r="B81" s="29" t="s">
        <v>52</v>
      </c>
      <c r="C81" s="29"/>
      <c r="D81" s="29"/>
      <c r="E81" s="29"/>
      <c r="F81" s="29"/>
      <c r="G81" s="29"/>
      <c r="H81" s="29"/>
      <c r="I81" s="29"/>
      <c r="J81" s="66"/>
      <c r="K81" s="29"/>
      <c r="L81" s="67">
        <v>0</v>
      </c>
      <c r="M81" s="29"/>
      <c r="N81" s="6"/>
    </row>
    <row r="82" spans="1:14" ht="15.75">
      <c r="A82" s="28"/>
      <c r="B82" s="29" t="s">
        <v>53</v>
      </c>
      <c r="C82" s="29"/>
      <c r="D82" s="29"/>
      <c r="E82" s="29"/>
      <c r="F82" s="29"/>
      <c r="G82" s="29"/>
      <c r="H82" s="29"/>
      <c r="I82" s="29"/>
      <c r="J82" s="66"/>
      <c r="K82" s="29"/>
      <c r="L82" s="67">
        <f>SUM(L77:L81)</f>
        <v>56141</v>
      </c>
      <c r="M82" s="29"/>
      <c r="N82" s="6"/>
    </row>
    <row r="83" spans="1:14" ht="15.75">
      <c r="A83" s="28"/>
      <c r="B83" s="29"/>
      <c r="C83" s="29"/>
      <c r="D83" s="29"/>
      <c r="E83" s="29"/>
      <c r="F83" s="29"/>
      <c r="G83" s="29"/>
      <c r="H83" s="29"/>
      <c r="I83" s="29"/>
      <c r="J83" s="66"/>
      <c r="K83" s="29"/>
      <c r="L83" s="68"/>
      <c r="M83" s="29"/>
      <c r="N83" s="6"/>
    </row>
    <row r="84" spans="1:14" ht="15.75">
      <c r="A84" s="28"/>
      <c r="B84" s="164" t="s">
        <v>54</v>
      </c>
      <c r="C84" s="73"/>
      <c r="D84" s="29"/>
      <c r="E84" s="29"/>
      <c r="F84" s="29"/>
      <c r="G84" s="29"/>
      <c r="H84" s="29"/>
      <c r="I84" s="29"/>
      <c r="J84" s="66"/>
      <c r="K84" s="29"/>
      <c r="L84" s="67"/>
      <c r="M84" s="29"/>
      <c r="N84" s="6"/>
    </row>
    <row r="85" spans="1:14" ht="15.75">
      <c r="A85" s="28">
        <v>1</v>
      </c>
      <c r="B85" s="29" t="s">
        <v>55</v>
      </c>
      <c r="C85" s="29"/>
      <c r="D85" s="29"/>
      <c r="E85" s="29"/>
      <c r="F85" s="29"/>
      <c r="G85" s="29"/>
      <c r="H85" s="29"/>
      <c r="I85" s="29"/>
      <c r="J85" s="29"/>
      <c r="K85" s="29"/>
      <c r="L85" s="67">
        <v>-4</v>
      </c>
      <c r="M85" s="29"/>
      <c r="N85" s="6"/>
    </row>
    <row r="86" spans="1:14" ht="15.75">
      <c r="A86" s="28">
        <f aca="true" t="shared" si="0" ref="A86:A94">A85+1</f>
        <v>2</v>
      </c>
      <c r="B86" s="29" t="s">
        <v>56</v>
      </c>
      <c r="C86" s="29"/>
      <c r="D86" s="29"/>
      <c r="E86" s="29"/>
      <c r="F86" s="29"/>
      <c r="G86" s="29"/>
      <c r="H86" s="29"/>
      <c r="I86" s="29"/>
      <c r="J86" s="29"/>
      <c r="K86" s="29"/>
      <c r="L86" s="67">
        <f>-484-62</f>
        <v>-546</v>
      </c>
      <c r="M86" s="29"/>
      <c r="N86" s="6"/>
    </row>
    <row r="87" spans="1:14" ht="15.75">
      <c r="A87" s="28">
        <f t="shared" si="0"/>
        <v>3</v>
      </c>
      <c r="B87" s="29" t="s">
        <v>57</v>
      </c>
      <c r="C87" s="29"/>
      <c r="D87" s="29"/>
      <c r="E87" s="29"/>
      <c r="F87" s="29"/>
      <c r="G87" s="29"/>
      <c r="H87" s="29"/>
      <c r="I87" s="29"/>
      <c r="J87" s="29"/>
      <c r="K87" s="29"/>
      <c r="L87" s="67">
        <v>-448</v>
      </c>
      <c r="M87" s="29"/>
      <c r="N87" s="6"/>
    </row>
    <row r="88" spans="1:14" ht="15.75">
      <c r="A88" s="28">
        <f t="shared" si="0"/>
        <v>4</v>
      </c>
      <c r="B88" s="29" t="s">
        <v>58</v>
      </c>
      <c r="C88" s="29"/>
      <c r="D88" s="29"/>
      <c r="E88" s="29"/>
      <c r="F88" s="29"/>
      <c r="G88" s="29"/>
      <c r="H88" s="29"/>
      <c r="I88" s="29"/>
      <c r="J88" s="29"/>
      <c r="K88" s="29"/>
      <c r="L88" s="67">
        <v>-1906</v>
      </c>
      <c r="M88" s="29"/>
      <c r="N88" s="6"/>
    </row>
    <row r="89" spans="1:14" ht="15.75">
      <c r="A89" s="28">
        <f t="shared" si="0"/>
        <v>5</v>
      </c>
      <c r="B89" s="29" t="s">
        <v>59</v>
      </c>
      <c r="C89" s="29"/>
      <c r="D89" s="29"/>
      <c r="E89" s="29"/>
      <c r="F89" s="29"/>
      <c r="G89" s="29"/>
      <c r="H89" s="29"/>
      <c r="I89" s="29"/>
      <c r="J89" s="29"/>
      <c r="K89" s="29"/>
      <c r="L89" s="67">
        <v>-5</v>
      </c>
      <c r="M89" s="29"/>
      <c r="N89" s="6"/>
    </row>
    <row r="90" spans="1:14" ht="15.75">
      <c r="A90" s="28">
        <f t="shared" si="0"/>
        <v>6</v>
      </c>
      <c r="B90" s="29" t="s">
        <v>60</v>
      </c>
      <c r="C90" s="29"/>
      <c r="D90" s="29"/>
      <c r="E90" s="29"/>
      <c r="F90" s="29"/>
      <c r="G90" s="29"/>
      <c r="H90" s="29"/>
      <c r="I90" s="29"/>
      <c r="J90" s="29"/>
      <c r="K90" s="29"/>
      <c r="L90" s="67">
        <v>-622</v>
      </c>
      <c r="M90" s="29"/>
      <c r="N90" s="6"/>
    </row>
    <row r="91" spans="1:14" ht="15.75">
      <c r="A91" s="28">
        <f t="shared" si="0"/>
        <v>7</v>
      </c>
      <c r="B91" s="29" t="s">
        <v>61</v>
      </c>
      <c r="C91" s="29"/>
      <c r="D91" s="29"/>
      <c r="E91" s="29"/>
      <c r="F91" s="29"/>
      <c r="G91" s="29"/>
      <c r="H91" s="29"/>
      <c r="I91" s="29"/>
      <c r="J91" s="29"/>
      <c r="K91" s="29"/>
      <c r="L91" s="67">
        <v>-333</v>
      </c>
      <c r="M91" s="29"/>
      <c r="N91" s="6"/>
    </row>
    <row r="92" spans="1:14" ht="15.75">
      <c r="A92" s="28">
        <f t="shared" si="0"/>
        <v>8</v>
      </c>
      <c r="B92" s="29" t="s">
        <v>62</v>
      </c>
      <c r="C92" s="29"/>
      <c r="D92" s="29"/>
      <c r="E92" s="29"/>
      <c r="F92" s="29"/>
      <c r="G92" s="29"/>
      <c r="H92" s="29"/>
      <c r="I92" s="29"/>
      <c r="J92" s="29"/>
      <c r="K92" s="29"/>
      <c r="L92" s="67">
        <v>0</v>
      </c>
      <c r="M92" s="29"/>
      <c r="N92" s="6"/>
    </row>
    <row r="93" spans="1:14" ht="15.75">
      <c r="A93" s="28">
        <f t="shared" si="0"/>
        <v>9</v>
      </c>
      <c r="B93" s="29" t="s">
        <v>44</v>
      </c>
      <c r="C93" s="29"/>
      <c r="D93" s="29"/>
      <c r="E93" s="29"/>
      <c r="F93" s="29"/>
      <c r="G93" s="29"/>
      <c r="H93" s="29"/>
      <c r="I93" s="29"/>
      <c r="J93" s="66"/>
      <c r="K93" s="29"/>
      <c r="L93" s="67">
        <f>L82+SUM(L85:L91)-L94</f>
        <v>49573</v>
      </c>
      <c r="M93" s="29"/>
      <c r="N93" s="6"/>
    </row>
    <row r="94" spans="1:15" ht="15.75">
      <c r="A94" s="28">
        <f t="shared" si="0"/>
        <v>10</v>
      </c>
      <c r="B94" s="29" t="s">
        <v>63</v>
      </c>
      <c r="C94" s="29"/>
      <c r="D94" s="29"/>
      <c r="E94" s="29"/>
      <c r="F94" s="29"/>
      <c r="G94" s="29"/>
      <c r="H94" s="29"/>
      <c r="I94" s="29"/>
      <c r="J94" s="29"/>
      <c r="K94" s="29"/>
      <c r="L94" s="67">
        <f>J195+SUM(L82:L91)+J197-J200</f>
        <v>2704</v>
      </c>
      <c r="M94" s="29"/>
      <c r="N94" s="6"/>
      <c r="O94" s="72"/>
    </row>
    <row r="95" spans="1:14" ht="15.75">
      <c r="A95" s="28"/>
      <c r="B95" s="32"/>
      <c r="C95" s="29"/>
      <c r="D95" s="29"/>
      <c r="E95" s="29"/>
      <c r="F95" s="29"/>
      <c r="G95" s="29"/>
      <c r="H95" s="29"/>
      <c r="I95" s="29"/>
      <c r="J95" s="66"/>
      <c r="K95" s="66"/>
      <c r="L95" s="66"/>
      <c r="M95" s="29"/>
      <c r="N95" s="6"/>
    </row>
    <row r="96" spans="1:14" ht="15.75">
      <c r="A96" s="7"/>
      <c r="B96" s="14"/>
      <c r="C96" s="9"/>
      <c r="D96" s="9"/>
      <c r="E96" s="9"/>
      <c r="F96" s="9"/>
      <c r="G96" s="9"/>
      <c r="H96" s="9"/>
      <c r="I96" s="9"/>
      <c r="J96" s="74"/>
      <c r="K96" s="74"/>
      <c r="L96" s="74"/>
      <c r="M96" s="9"/>
      <c r="N96" s="6"/>
    </row>
    <row r="97" spans="1:14" ht="16.5" thickBot="1">
      <c r="A97" s="144"/>
      <c r="B97" s="145" t="str">
        <f>B50</f>
        <v>PPAF1 INVESTOR REPORT QUARTER ENDING NOVEMBER 2002</v>
      </c>
      <c r="C97" s="146"/>
      <c r="D97" s="146"/>
      <c r="E97" s="146"/>
      <c r="F97" s="146"/>
      <c r="G97" s="146"/>
      <c r="H97" s="146"/>
      <c r="I97" s="146"/>
      <c r="J97" s="149"/>
      <c r="K97" s="149"/>
      <c r="L97" s="149"/>
      <c r="M97" s="148"/>
      <c r="N97" s="6"/>
    </row>
    <row r="98" spans="1:14" ht="15.75">
      <c r="A98" s="2"/>
      <c r="B98" s="5"/>
      <c r="C98" s="5"/>
      <c r="D98" s="5"/>
      <c r="E98" s="5"/>
      <c r="F98" s="5"/>
      <c r="G98" s="5"/>
      <c r="H98" s="5"/>
      <c r="I98" s="5"/>
      <c r="J98" s="75"/>
      <c r="K98" s="75"/>
      <c r="L98" s="75"/>
      <c r="M98" s="5"/>
      <c r="N98" s="6"/>
    </row>
    <row r="99" spans="1:14" ht="15.75">
      <c r="A99" s="76"/>
      <c r="B99" s="77" t="s">
        <v>64</v>
      </c>
      <c r="C99" s="78"/>
      <c r="D99" s="78"/>
      <c r="E99" s="78"/>
      <c r="F99" s="78"/>
      <c r="G99" s="78"/>
      <c r="H99" s="78"/>
      <c r="I99" s="78"/>
      <c r="J99" s="78"/>
      <c r="K99" s="78"/>
      <c r="L99" s="79"/>
      <c r="M99" s="80"/>
      <c r="N99" s="6"/>
    </row>
    <row r="100" spans="1:14" ht="15.75">
      <c r="A100" s="76"/>
      <c r="B100" s="78"/>
      <c r="C100" s="78"/>
      <c r="D100" s="78"/>
      <c r="E100" s="78"/>
      <c r="F100" s="78"/>
      <c r="G100" s="78"/>
      <c r="H100" s="78"/>
      <c r="I100" s="78"/>
      <c r="J100" s="78"/>
      <c r="K100" s="78"/>
      <c r="L100" s="79"/>
      <c r="M100" s="78"/>
      <c r="N100" s="6"/>
    </row>
    <row r="101" spans="1:14" ht="15.75">
      <c r="A101" s="7"/>
      <c r="B101" s="165" t="s">
        <v>65</v>
      </c>
      <c r="C101" s="15"/>
      <c r="D101" s="9"/>
      <c r="E101" s="9"/>
      <c r="F101" s="9"/>
      <c r="G101" s="9"/>
      <c r="H101" s="9"/>
      <c r="I101" s="9"/>
      <c r="J101" s="9"/>
      <c r="K101" s="9"/>
      <c r="L101" s="64"/>
      <c r="M101" s="9"/>
      <c r="N101" s="6"/>
    </row>
    <row r="102" spans="1:14" ht="15.75">
      <c r="A102" s="28"/>
      <c r="B102" s="29" t="s">
        <v>66</v>
      </c>
      <c r="C102" s="29"/>
      <c r="D102" s="29"/>
      <c r="E102" s="29"/>
      <c r="F102" s="29"/>
      <c r="G102" s="29"/>
      <c r="H102" s="29"/>
      <c r="I102" s="29"/>
      <c r="J102" s="29"/>
      <c r="K102" s="29"/>
      <c r="L102" s="67">
        <f>10793+400</f>
        <v>11193</v>
      </c>
      <c r="M102" s="29"/>
      <c r="N102" s="6"/>
    </row>
    <row r="103" spans="1:14" ht="15.75">
      <c r="A103" s="28"/>
      <c r="B103" s="29" t="s">
        <v>67</v>
      </c>
      <c r="C103" s="29"/>
      <c r="D103" s="29"/>
      <c r="E103" s="29"/>
      <c r="F103" s="29"/>
      <c r="G103" s="29"/>
      <c r="H103" s="29"/>
      <c r="I103" s="29"/>
      <c r="J103" s="29"/>
      <c r="K103" s="29"/>
      <c r="L103" s="67">
        <v>10793</v>
      </c>
      <c r="M103" s="29"/>
      <c r="N103" s="6"/>
    </row>
    <row r="104" spans="1:14" ht="15.75">
      <c r="A104" s="28"/>
      <c r="B104" s="29" t="s">
        <v>68</v>
      </c>
      <c r="C104" s="29"/>
      <c r="D104" s="29"/>
      <c r="E104" s="29"/>
      <c r="F104" s="29"/>
      <c r="G104" s="29"/>
      <c r="H104" s="29"/>
      <c r="I104" s="29"/>
      <c r="J104" s="29"/>
      <c r="K104" s="29"/>
      <c r="L104" s="67">
        <v>0</v>
      </c>
      <c r="M104" s="29"/>
      <c r="N104" s="6"/>
    </row>
    <row r="105" spans="1:14" ht="15.75">
      <c r="A105" s="28"/>
      <c r="B105" s="29" t="s">
        <v>69</v>
      </c>
      <c r="C105" s="29"/>
      <c r="D105" s="29"/>
      <c r="E105" s="29"/>
      <c r="F105" s="29"/>
      <c r="G105" s="29"/>
      <c r="H105" s="29"/>
      <c r="I105" s="29"/>
      <c r="J105" s="29"/>
      <c r="K105" s="29"/>
      <c r="L105" s="67">
        <v>0</v>
      </c>
      <c r="M105" s="29"/>
      <c r="N105" s="6"/>
    </row>
    <row r="106" spans="1:14" ht="15.75">
      <c r="A106" s="28"/>
      <c r="B106" s="29" t="s">
        <v>70</v>
      </c>
      <c r="C106" s="29"/>
      <c r="D106" s="29"/>
      <c r="E106" s="29"/>
      <c r="F106" s="29"/>
      <c r="G106" s="29"/>
      <c r="H106" s="29"/>
      <c r="I106" s="29"/>
      <c r="J106" s="29"/>
      <c r="K106" s="29"/>
      <c r="L106" s="67">
        <v>0</v>
      </c>
      <c r="M106" s="29"/>
      <c r="N106" s="6"/>
    </row>
    <row r="107" spans="1:14" ht="15.75">
      <c r="A107" s="28"/>
      <c r="B107" s="29" t="s">
        <v>58</v>
      </c>
      <c r="C107" s="29"/>
      <c r="D107" s="29"/>
      <c r="E107" s="29"/>
      <c r="F107" s="29"/>
      <c r="G107" s="29"/>
      <c r="H107" s="29"/>
      <c r="I107" s="29"/>
      <c r="J107" s="29"/>
      <c r="K107" s="29"/>
      <c r="L107" s="67">
        <v>0</v>
      </c>
      <c r="M107" s="29"/>
      <c r="N107" s="6"/>
    </row>
    <row r="108" spans="1:14" ht="15.75">
      <c r="A108" s="28"/>
      <c r="B108" s="29" t="s">
        <v>60</v>
      </c>
      <c r="C108" s="29"/>
      <c r="D108" s="29"/>
      <c r="E108" s="29"/>
      <c r="F108" s="29"/>
      <c r="G108" s="29"/>
      <c r="H108" s="29"/>
      <c r="I108" s="29"/>
      <c r="J108" s="29"/>
      <c r="K108" s="29"/>
      <c r="L108" s="67">
        <v>0</v>
      </c>
      <c r="M108" s="29"/>
      <c r="N108" s="6"/>
    </row>
    <row r="109" spans="1:14" ht="15.75">
      <c r="A109" s="28"/>
      <c r="B109" s="29" t="s">
        <v>61</v>
      </c>
      <c r="C109" s="29"/>
      <c r="D109" s="29"/>
      <c r="E109" s="29"/>
      <c r="F109" s="29"/>
      <c r="G109" s="29"/>
      <c r="H109" s="29"/>
      <c r="I109" s="29"/>
      <c r="J109" s="29"/>
      <c r="K109" s="29"/>
      <c r="L109" s="67">
        <v>0</v>
      </c>
      <c r="M109" s="29"/>
      <c r="N109" s="6"/>
    </row>
    <row r="110" spans="1:14" ht="15.75">
      <c r="A110" s="28"/>
      <c r="B110" s="29" t="s">
        <v>71</v>
      </c>
      <c r="C110" s="29"/>
      <c r="D110" s="29"/>
      <c r="E110" s="29"/>
      <c r="F110" s="29"/>
      <c r="G110" s="29"/>
      <c r="H110" s="29"/>
      <c r="I110" s="29"/>
      <c r="J110" s="29"/>
      <c r="K110" s="29"/>
      <c r="L110" s="67">
        <f>L103</f>
        <v>10793</v>
      </c>
      <c r="M110" s="29"/>
      <c r="N110" s="6"/>
    </row>
    <row r="111" spans="1:14" ht="15.75">
      <c r="A111" s="28"/>
      <c r="B111" s="29"/>
      <c r="C111" s="29"/>
      <c r="D111" s="29"/>
      <c r="E111" s="29"/>
      <c r="F111" s="29"/>
      <c r="G111" s="29"/>
      <c r="H111" s="29"/>
      <c r="I111" s="29"/>
      <c r="J111" s="29"/>
      <c r="K111" s="29"/>
      <c r="L111" s="81"/>
      <c r="M111" s="29"/>
      <c r="N111" s="6"/>
    </row>
    <row r="112" spans="1:14" ht="15.75">
      <c r="A112" s="7"/>
      <c r="B112" s="165" t="s">
        <v>72</v>
      </c>
      <c r="C112" s="15"/>
      <c r="D112" s="9"/>
      <c r="E112" s="9"/>
      <c r="F112" s="9"/>
      <c r="G112" s="82"/>
      <c r="H112" s="9"/>
      <c r="I112" s="9"/>
      <c r="J112" s="9"/>
      <c r="K112" s="9"/>
      <c r="L112" s="83"/>
      <c r="M112" s="9"/>
      <c r="N112" s="6"/>
    </row>
    <row r="113" spans="1:14" ht="15.75">
      <c r="A113" s="7"/>
      <c r="B113" s="15"/>
      <c r="C113" s="19" t="s">
        <v>140</v>
      </c>
      <c r="D113" s="19" t="s">
        <v>150</v>
      </c>
      <c r="E113" s="19" t="s">
        <v>156</v>
      </c>
      <c r="F113" s="19" t="s">
        <v>165</v>
      </c>
      <c r="G113" s="82"/>
      <c r="H113" s="82"/>
      <c r="I113" s="9"/>
      <c r="J113" s="9"/>
      <c r="K113" s="9"/>
      <c r="L113" s="83"/>
      <c r="M113" s="9"/>
      <c r="N113" s="6"/>
    </row>
    <row r="114" spans="1:14" ht="15.75">
      <c r="A114" s="28"/>
      <c r="B114" s="29" t="s">
        <v>73</v>
      </c>
      <c r="C114" s="29">
        <f>1045+14</f>
        <v>1059</v>
      </c>
      <c r="D114" s="29">
        <v>207</v>
      </c>
      <c r="E114" s="29">
        <v>-65</v>
      </c>
      <c r="F114" s="29">
        <v>6</v>
      </c>
      <c r="G114" s="84"/>
      <c r="H114" s="84"/>
      <c r="I114" s="29"/>
      <c r="J114" s="29"/>
      <c r="K114" s="29"/>
      <c r="L114" s="67">
        <f>SUM(C114:F114)</f>
        <v>1207</v>
      </c>
      <c r="M114" s="29"/>
      <c r="N114" s="6"/>
    </row>
    <row r="115" spans="1:14" ht="15.75">
      <c r="A115" s="28"/>
      <c r="B115" s="29" t="s">
        <v>74</v>
      </c>
      <c r="C115" s="29">
        <v>71</v>
      </c>
      <c r="D115" s="29">
        <v>0</v>
      </c>
      <c r="E115" s="29">
        <v>0</v>
      </c>
      <c r="F115" s="29">
        <v>162</v>
      </c>
      <c r="G115" s="84"/>
      <c r="H115" s="84"/>
      <c r="I115" s="29"/>
      <c r="J115" s="29"/>
      <c r="K115" s="29"/>
      <c r="L115" s="67">
        <f>SUM(C115:F115)</f>
        <v>233</v>
      </c>
      <c r="M115" s="29"/>
      <c r="N115" s="6"/>
    </row>
    <row r="116" spans="1:14" ht="15.75">
      <c r="A116" s="28"/>
      <c r="B116" s="29" t="s">
        <v>75</v>
      </c>
      <c r="C116" s="29"/>
      <c r="D116" s="29"/>
      <c r="E116" s="29"/>
      <c r="F116" s="29"/>
      <c r="G116" s="29"/>
      <c r="H116" s="29"/>
      <c r="I116" s="29"/>
      <c r="J116" s="29"/>
      <c r="K116" s="29"/>
      <c r="L116" s="67">
        <f>SUM(L114:L115)</f>
        <v>1440</v>
      </c>
      <c r="M116" s="29"/>
      <c r="N116" s="6"/>
    </row>
    <row r="117" spans="1:14" ht="15.75">
      <c r="A117" s="28"/>
      <c r="B117" s="29" t="s">
        <v>76</v>
      </c>
      <c r="C117" s="66">
        <v>266</v>
      </c>
      <c r="D117" s="29"/>
      <c r="E117" s="29"/>
      <c r="F117" s="29"/>
      <c r="G117" s="29"/>
      <c r="H117" s="29"/>
      <c r="I117" s="29"/>
      <c r="J117" s="29"/>
      <c r="K117" s="29"/>
      <c r="L117" s="85"/>
      <c r="M117" s="29"/>
      <c r="N117" s="6"/>
    </row>
    <row r="118" spans="1:14" ht="15.75">
      <c r="A118" s="7"/>
      <c r="B118" s="165" t="s">
        <v>77</v>
      </c>
      <c r="C118" s="15"/>
      <c r="D118" s="9"/>
      <c r="E118" s="9"/>
      <c r="F118" s="9"/>
      <c r="G118" s="9"/>
      <c r="H118" s="9"/>
      <c r="I118" s="9"/>
      <c r="J118" s="9"/>
      <c r="K118" s="9"/>
      <c r="L118" s="64"/>
      <c r="M118" s="9"/>
      <c r="N118" s="6"/>
    </row>
    <row r="119" spans="1:14" ht="15.75">
      <c r="A119" s="28"/>
      <c r="B119" s="29" t="s">
        <v>78</v>
      </c>
      <c r="C119" s="86"/>
      <c r="D119" s="29"/>
      <c r="E119" s="29"/>
      <c r="F119" s="29"/>
      <c r="G119" s="29"/>
      <c r="H119" s="29"/>
      <c r="I119" s="29"/>
      <c r="J119" s="29"/>
      <c r="K119" s="29"/>
      <c r="L119" s="67">
        <f>L67</f>
        <v>225953</v>
      </c>
      <c r="M119" s="29"/>
      <c r="N119" s="6"/>
    </row>
    <row r="120" spans="1:14" ht="15.75">
      <c r="A120" s="28"/>
      <c r="B120" s="29" t="s">
        <v>79</v>
      </c>
      <c r="C120" s="86"/>
      <c r="D120" s="29"/>
      <c r="E120" s="29"/>
      <c r="F120" s="29"/>
      <c r="G120" s="29"/>
      <c r="H120" s="29"/>
      <c r="I120" s="29"/>
      <c r="J120" s="29"/>
      <c r="K120" s="29"/>
      <c r="L120" s="67">
        <f>L70</f>
        <v>49569</v>
      </c>
      <c r="M120" s="29"/>
      <c r="N120" s="6"/>
    </row>
    <row r="121" spans="1:15" ht="15.75">
      <c r="A121" s="28"/>
      <c r="B121" s="29" t="s">
        <v>80</v>
      </c>
      <c r="C121" s="86"/>
      <c r="D121" s="29"/>
      <c r="E121" s="29"/>
      <c r="F121" s="29"/>
      <c r="G121" s="29"/>
      <c r="H121" s="29"/>
      <c r="I121" s="29"/>
      <c r="J121" s="29"/>
      <c r="K121" s="29"/>
      <c r="L121" s="67">
        <f>L120+L119+L72+L73</f>
        <v>275522</v>
      </c>
      <c r="M121" s="29"/>
      <c r="N121" s="6"/>
      <c r="O121" s="72"/>
    </row>
    <row r="122" spans="1:15" ht="15.75">
      <c r="A122" s="28"/>
      <c r="B122" s="29" t="s">
        <v>81</v>
      </c>
      <c r="C122" s="86"/>
      <c r="D122" s="29"/>
      <c r="E122" s="29"/>
      <c r="F122" s="29"/>
      <c r="G122" s="29"/>
      <c r="H122" s="29"/>
      <c r="I122" s="29"/>
      <c r="J122" s="29"/>
      <c r="K122" s="29"/>
      <c r="L122" s="67">
        <f>L74</f>
        <v>251000</v>
      </c>
      <c r="M122" s="29"/>
      <c r="N122" s="6"/>
      <c r="O122" s="72"/>
    </row>
    <row r="123" spans="1:14" ht="15.75">
      <c r="A123" s="28"/>
      <c r="B123" s="29"/>
      <c r="C123" s="29"/>
      <c r="D123" s="29"/>
      <c r="E123" s="29"/>
      <c r="F123" s="29"/>
      <c r="G123" s="29"/>
      <c r="H123" s="29"/>
      <c r="I123" s="29"/>
      <c r="J123" s="29"/>
      <c r="K123" s="29"/>
      <c r="L123" s="85"/>
      <c r="M123" s="29"/>
      <c r="N123" s="6"/>
    </row>
    <row r="124" spans="1:14" ht="15.75">
      <c r="A124" s="7"/>
      <c r="B124" s="165" t="s">
        <v>82</v>
      </c>
      <c r="C124" s="158"/>
      <c r="D124" s="158"/>
      <c r="E124" s="158"/>
      <c r="F124" s="158"/>
      <c r="G124" s="158"/>
      <c r="H124" s="159" t="s">
        <v>176</v>
      </c>
      <c r="I124" s="166"/>
      <c r="J124" s="159" t="s">
        <v>179</v>
      </c>
      <c r="K124" s="158"/>
      <c r="L124" s="167" t="s">
        <v>131</v>
      </c>
      <c r="M124" s="9"/>
      <c r="N124" s="6"/>
    </row>
    <row r="125" spans="1:14" ht="15.75">
      <c r="A125" s="28"/>
      <c r="B125" s="29" t="s">
        <v>83</v>
      </c>
      <c r="C125" s="29"/>
      <c r="D125" s="29"/>
      <c r="E125" s="29"/>
      <c r="F125" s="29"/>
      <c r="G125" s="29"/>
      <c r="H125" s="67">
        <v>0</v>
      </c>
      <c r="I125" s="29"/>
      <c r="J125" s="89" t="s">
        <v>180</v>
      </c>
      <c r="K125" s="29"/>
      <c r="L125" s="67">
        <f>H125</f>
        <v>0</v>
      </c>
      <c r="M125" s="29"/>
      <c r="N125" s="6"/>
    </row>
    <row r="126" spans="1:14" ht="15.75">
      <c r="A126" s="28"/>
      <c r="B126" s="29" t="s">
        <v>84</v>
      </c>
      <c r="C126" s="29"/>
      <c r="D126" s="29"/>
      <c r="E126" s="29"/>
      <c r="F126" s="29"/>
      <c r="G126" s="29"/>
      <c r="H126" s="67">
        <v>0</v>
      </c>
      <c r="I126" s="29"/>
      <c r="J126" s="89" t="s">
        <v>180</v>
      </c>
      <c r="K126" s="29"/>
      <c r="L126" s="67">
        <f>H126</f>
        <v>0</v>
      </c>
      <c r="M126" s="29"/>
      <c r="N126" s="6"/>
    </row>
    <row r="127" spans="1:14" ht="15.75">
      <c r="A127" s="28"/>
      <c r="B127" s="29" t="s">
        <v>85</v>
      </c>
      <c r="C127" s="29"/>
      <c r="D127" s="29"/>
      <c r="E127" s="29"/>
      <c r="F127" s="29"/>
      <c r="G127" s="29"/>
      <c r="H127" s="67">
        <v>0</v>
      </c>
      <c r="I127" s="29"/>
      <c r="J127" s="89" t="s">
        <v>180</v>
      </c>
      <c r="K127" s="29"/>
      <c r="L127" s="67">
        <f>H127</f>
        <v>0</v>
      </c>
      <c r="M127" s="29"/>
      <c r="N127" s="6"/>
    </row>
    <row r="128" spans="1:14" ht="15.75">
      <c r="A128" s="28"/>
      <c r="B128" s="29" t="s">
        <v>86</v>
      </c>
      <c r="C128" s="29"/>
      <c r="D128" s="29"/>
      <c r="E128" s="29"/>
      <c r="F128" s="29"/>
      <c r="G128" s="29"/>
      <c r="H128" s="67">
        <f>SUM(H126:H127)</f>
        <v>0</v>
      </c>
      <c r="I128" s="29"/>
      <c r="J128" s="89" t="s">
        <v>180</v>
      </c>
      <c r="K128" s="29"/>
      <c r="L128" s="67">
        <f>H128</f>
        <v>0</v>
      </c>
      <c r="M128" s="29"/>
      <c r="N128" s="6"/>
    </row>
    <row r="129" spans="1:14" ht="15.75">
      <c r="A129" s="28"/>
      <c r="B129" s="29" t="s">
        <v>87</v>
      </c>
      <c r="C129" s="29"/>
      <c r="D129" s="29"/>
      <c r="E129" s="29"/>
      <c r="F129" s="29"/>
      <c r="G129" s="29"/>
      <c r="H129" s="67">
        <f>H125-H128</f>
        <v>0</v>
      </c>
      <c r="I129" s="29"/>
      <c r="J129" s="89" t="s">
        <v>180</v>
      </c>
      <c r="K129" s="29"/>
      <c r="L129" s="67">
        <f>H129</f>
        <v>0</v>
      </c>
      <c r="M129" s="29"/>
      <c r="N129" s="6"/>
    </row>
    <row r="130" spans="1:14" ht="15.75">
      <c r="A130" s="28"/>
      <c r="B130" s="29"/>
      <c r="C130" s="29"/>
      <c r="D130" s="29"/>
      <c r="E130" s="29"/>
      <c r="F130" s="29"/>
      <c r="G130" s="29"/>
      <c r="H130" s="29"/>
      <c r="I130" s="29"/>
      <c r="J130" s="29"/>
      <c r="K130" s="29"/>
      <c r="L130" s="29"/>
      <c r="M130" s="29"/>
      <c r="N130" s="6"/>
    </row>
    <row r="131" spans="1:14" ht="15.75">
      <c r="A131" s="28"/>
      <c r="B131" s="32"/>
      <c r="C131" s="32"/>
      <c r="D131" s="32"/>
      <c r="E131" s="32"/>
      <c r="F131" s="32"/>
      <c r="G131" s="32"/>
      <c r="H131" s="32"/>
      <c r="I131" s="32"/>
      <c r="J131" s="32"/>
      <c r="K131" s="32"/>
      <c r="L131" s="32"/>
      <c r="M131" s="32"/>
      <c r="N131" s="6"/>
    </row>
    <row r="132" spans="1:14" ht="15.75">
      <c r="A132" s="90"/>
      <c r="B132" s="63" t="s">
        <v>88</v>
      </c>
      <c r="C132" s="91"/>
      <c r="D132" s="91"/>
      <c r="E132" s="91"/>
      <c r="F132" s="91"/>
      <c r="G132" s="21"/>
      <c r="H132" s="21"/>
      <c r="I132" s="21"/>
      <c r="J132" s="21">
        <v>37590</v>
      </c>
      <c r="K132" s="17"/>
      <c r="L132" s="17"/>
      <c r="M132" s="9"/>
      <c r="N132" s="6"/>
    </row>
    <row r="133" spans="1:14" ht="15.75">
      <c r="A133" s="92"/>
      <c r="B133" s="93" t="s">
        <v>89</v>
      </c>
      <c r="C133" s="94"/>
      <c r="D133" s="94"/>
      <c r="E133" s="94"/>
      <c r="F133" s="94"/>
      <c r="G133" s="95"/>
      <c r="H133" s="95"/>
      <c r="I133" s="95"/>
      <c r="J133" s="96">
        <v>0.1226</v>
      </c>
      <c r="K133" s="29"/>
      <c r="L133" s="29"/>
      <c r="M133" s="29"/>
      <c r="N133" s="6"/>
    </row>
    <row r="134" spans="1:14" ht="15.75">
      <c r="A134" s="92"/>
      <c r="B134" s="93" t="s">
        <v>90</v>
      </c>
      <c r="C134" s="94"/>
      <c r="D134" s="94"/>
      <c r="E134" s="94"/>
      <c r="F134" s="94"/>
      <c r="G134" s="95"/>
      <c r="H134" s="95"/>
      <c r="I134" s="95"/>
      <c r="J134" s="96">
        <v>0.0582</v>
      </c>
      <c r="K134" s="96"/>
      <c r="L134" s="29"/>
      <c r="M134" s="29"/>
      <c r="N134" s="6"/>
    </row>
    <row r="135" spans="1:14" ht="15.75">
      <c r="A135" s="92"/>
      <c r="B135" s="93" t="s">
        <v>91</v>
      </c>
      <c r="C135" s="94"/>
      <c r="D135" s="94"/>
      <c r="E135" s="94"/>
      <c r="F135" s="94"/>
      <c r="G135" s="95"/>
      <c r="H135" s="95"/>
      <c r="I135" s="95"/>
      <c r="J135" s="96">
        <f>J133-J134</f>
        <v>0.0644</v>
      </c>
      <c r="K135" s="29"/>
      <c r="L135" s="29"/>
      <c r="M135" s="29"/>
      <c r="N135" s="6"/>
    </row>
    <row r="136" spans="1:14" ht="15.75">
      <c r="A136" s="92"/>
      <c r="B136" s="93" t="s">
        <v>92</v>
      </c>
      <c r="C136" s="94"/>
      <c r="D136" s="94"/>
      <c r="E136" s="94"/>
      <c r="F136" s="94"/>
      <c r="G136" s="95"/>
      <c r="H136" s="95"/>
      <c r="I136" s="95"/>
      <c r="J136" s="96">
        <v>0.1239</v>
      </c>
      <c r="K136" s="29"/>
      <c r="L136" s="29"/>
      <c r="M136" s="29"/>
      <c r="N136" s="6"/>
    </row>
    <row r="137" spans="1:14" ht="15.75">
      <c r="A137" s="92"/>
      <c r="B137" s="93" t="s">
        <v>93</v>
      </c>
      <c r="C137" s="94"/>
      <c r="D137" s="94"/>
      <c r="E137" s="94"/>
      <c r="F137" s="94"/>
      <c r="G137" s="95"/>
      <c r="H137" s="95"/>
      <c r="I137" s="95"/>
      <c r="J137" s="96">
        <f>L32</f>
        <v>0.04571427888446215</v>
      </c>
      <c r="K137" s="29"/>
      <c r="L137" s="29"/>
      <c r="M137" s="29"/>
      <c r="N137" s="6"/>
    </row>
    <row r="138" spans="1:14" ht="15.75">
      <c r="A138" s="92"/>
      <c r="B138" s="93" t="s">
        <v>94</v>
      </c>
      <c r="C138" s="94"/>
      <c r="D138" s="94"/>
      <c r="E138" s="94"/>
      <c r="F138" s="94"/>
      <c r="G138" s="95"/>
      <c r="H138" s="95"/>
      <c r="I138" s="95"/>
      <c r="J138" s="96">
        <f>J136-J137</f>
        <v>0.07818572111553784</v>
      </c>
      <c r="K138" s="29"/>
      <c r="L138" s="29"/>
      <c r="M138" s="29"/>
      <c r="N138" s="6"/>
    </row>
    <row r="139" spans="1:14" ht="15.75">
      <c r="A139" s="92"/>
      <c r="B139" s="93" t="s">
        <v>95</v>
      </c>
      <c r="C139" s="94"/>
      <c r="D139" s="94"/>
      <c r="E139" s="94"/>
      <c r="F139" s="94"/>
      <c r="G139" s="95"/>
      <c r="H139" s="95"/>
      <c r="I139" s="95"/>
      <c r="J139" s="96" t="s">
        <v>181</v>
      </c>
      <c r="K139" s="29"/>
      <c r="L139" s="29"/>
      <c r="M139" s="29"/>
      <c r="N139" s="6"/>
    </row>
    <row r="140" spans="1:14" ht="15.75">
      <c r="A140" s="92"/>
      <c r="B140" s="93" t="s">
        <v>96</v>
      </c>
      <c r="C140" s="94"/>
      <c r="D140" s="94"/>
      <c r="E140" s="94"/>
      <c r="F140" s="94"/>
      <c r="G140" s="95"/>
      <c r="H140" s="95"/>
      <c r="I140" s="95"/>
      <c r="J140" s="96" t="s">
        <v>182</v>
      </c>
      <c r="K140" s="29"/>
      <c r="L140" s="29"/>
      <c r="M140" s="29"/>
      <c r="N140" s="6"/>
    </row>
    <row r="141" spans="1:14" ht="15.75">
      <c r="A141" s="92"/>
      <c r="B141" s="93" t="s">
        <v>97</v>
      </c>
      <c r="C141" s="94"/>
      <c r="D141" s="94"/>
      <c r="E141" s="94"/>
      <c r="F141" s="94"/>
      <c r="G141" s="95"/>
      <c r="H141" s="95"/>
      <c r="I141" s="95"/>
      <c r="J141" s="96" t="s">
        <v>183</v>
      </c>
      <c r="K141" s="29"/>
      <c r="L141" s="29"/>
      <c r="M141" s="29"/>
      <c r="N141" s="6"/>
    </row>
    <row r="142" spans="1:14" ht="15.75">
      <c r="A142" s="92"/>
      <c r="B142" s="93" t="s">
        <v>98</v>
      </c>
      <c r="C142" s="94"/>
      <c r="D142" s="94"/>
      <c r="E142" s="94"/>
      <c r="F142" s="94"/>
      <c r="G142" s="95"/>
      <c r="H142" s="95"/>
      <c r="I142" s="95"/>
      <c r="J142" s="97">
        <v>4.08</v>
      </c>
      <c r="K142" s="29"/>
      <c r="L142" s="29"/>
      <c r="M142" s="29"/>
      <c r="N142" s="6"/>
    </row>
    <row r="143" spans="1:14" ht="15.75">
      <c r="A143" s="92"/>
      <c r="B143" s="93" t="s">
        <v>99</v>
      </c>
      <c r="C143" s="94"/>
      <c r="D143" s="94"/>
      <c r="E143" s="94"/>
      <c r="F143" s="94"/>
      <c r="G143" s="95"/>
      <c r="H143" s="95"/>
      <c r="I143" s="95"/>
      <c r="J143" s="97">
        <v>5.23</v>
      </c>
      <c r="K143" s="29"/>
      <c r="L143" s="29"/>
      <c r="M143" s="29"/>
      <c r="N143" s="6"/>
    </row>
    <row r="144" spans="1:14" ht="15.75">
      <c r="A144" s="92"/>
      <c r="B144" s="93" t="s">
        <v>100</v>
      </c>
      <c r="C144" s="94"/>
      <c r="D144" s="94"/>
      <c r="E144" s="94"/>
      <c r="F144" s="94"/>
      <c r="G144" s="95"/>
      <c r="H144" s="95"/>
      <c r="I144" s="95"/>
      <c r="J144" s="96">
        <v>0.1529</v>
      </c>
      <c r="K144" s="29"/>
      <c r="L144" s="29"/>
      <c r="M144" s="29"/>
      <c r="N144" s="6"/>
    </row>
    <row r="145" spans="1:14" ht="15.75">
      <c r="A145" s="92"/>
      <c r="B145" s="93" t="s">
        <v>101</v>
      </c>
      <c r="C145" s="94"/>
      <c r="D145" s="94"/>
      <c r="E145" s="94"/>
      <c r="F145" s="94"/>
      <c r="G145" s="95"/>
      <c r="H145" s="95"/>
      <c r="I145" s="95"/>
      <c r="J145" s="96">
        <v>0.4532</v>
      </c>
      <c r="K145" s="29"/>
      <c r="L145" s="29"/>
      <c r="M145" s="29"/>
      <c r="N145" s="6"/>
    </row>
    <row r="146" spans="1:14" ht="15.75">
      <c r="A146" s="92"/>
      <c r="B146" s="93"/>
      <c r="C146" s="93"/>
      <c r="D146" s="93"/>
      <c r="E146" s="93"/>
      <c r="F146" s="93"/>
      <c r="G146" s="29"/>
      <c r="H146" s="29"/>
      <c r="I146" s="36"/>
      <c r="J146" s="98"/>
      <c r="K146" s="29"/>
      <c r="L146" s="99"/>
      <c r="M146" s="29"/>
      <c r="N146" s="6"/>
    </row>
    <row r="147" spans="1:14" ht="15.75">
      <c r="A147" s="90"/>
      <c r="B147" s="100"/>
      <c r="C147" s="100"/>
      <c r="D147" s="100"/>
      <c r="E147" s="100"/>
      <c r="F147" s="100"/>
      <c r="G147" s="9"/>
      <c r="H147" s="9"/>
      <c r="I147" s="22"/>
      <c r="J147" s="101"/>
      <c r="K147" s="9"/>
      <c r="L147" s="102"/>
      <c r="M147" s="9"/>
      <c r="N147" s="6"/>
    </row>
    <row r="148" spans="1:14" ht="16.5" thickBot="1">
      <c r="A148" s="150"/>
      <c r="B148" s="145" t="str">
        <f>B97</f>
        <v>PPAF1 INVESTOR REPORT QUARTER ENDING NOVEMBER 2002</v>
      </c>
      <c r="C148" s="151"/>
      <c r="D148" s="151"/>
      <c r="E148" s="151"/>
      <c r="F148" s="151"/>
      <c r="G148" s="146"/>
      <c r="H148" s="146"/>
      <c r="I148" s="152"/>
      <c r="J148" s="153"/>
      <c r="K148" s="146"/>
      <c r="L148" s="154"/>
      <c r="M148" s="148"/>
      <c r="N148" s="6"/>
    </row>
    <row r="149" spans="1:14" ht="15.75">
      <c r="A149" s="103"/>
      <c r="B149" s="104"/>
      <c r="C149" s="105"/>
      <c r="D149" s="106"/>
      <c r="E149" s="105"/>
      <c r="F149" s="106"/>
      <c r="G149" s="105"/>
      <c r="H149" s="106"/>
      <c r="I149" s="105"/>
      <c r="J149" s="106"/>
      <c r="K149" s="107"/>
      <c r="L149" s="107"/>
      <c r="M149" s="5"/>
      <c r="N149" s="6"/>
    </row>
    <row r="150" spans="1:14" ht="15.75">
      <c r="A150" s="108"/>
      <c r="B150" s="93" t="s">
        <v>103</v>
      </c>
      <c r="C150" s="68"/>
      <c r="D150" s="68"/>
      <c r="E150" s="68"/>
      <c r="F150" s="29"/>
      <c r="G150" s="29"/>
      <c r="H150" s="29"/>
      <c r="I150" s="29">
        <v>498</v>
      </c>
      <c r="J150" s="67">
        <v>3162</v>
      </c>
      <c r="K150" s="67"/>
      <c r="L150" s="99"/>
      <c r="M150" s="109"/>
      <c r="N150" s="6"/>
    </row>
    <row r="151" spans="1:14" ht="15.75">
      <c r="A151" s="108"/>
      <c r="B151" s="93" t="s">
        <v>104</v>
      </c>
      <c r="C151" s="68"/>
      <c r="D151" s="68"/>
      <c r="E151" s="68"/>
      <c r="F151" s="29"/>
      <c r="G151" s="29"/>
      <c r="H151" s="29"/>
      <c r="I151" s="29">
        <v>6</v>
      </c>
      <c r="J151" s="67">
        <v>69</v>
      </c>
      <c r="K151" s="67"/>
      <c r="L151" s="99"/>
      <c r="M151" s="109"/>
      <c r="N151" s="6"/>
    </row>
    <row r="152" spans="1:14" ht="15.75">
      <c r="A152" s="108"/>
      <c r="B152" s="168" t="s">
        <v>105</v>
      </c>
      <c r="C152" s="68"/>
      <c r="D152" s="68"/>
      <c r="E152" s="68"/>
      <c r="F152" s="29"/>
      <c r="G152" s="29"/>
      <c r="H152" s="29"/>
      <c r="I152" s="29"/>
      <c r="J152" s="110">
        <v>0</v>
      </c>
      <c r="K152" s="29"/>
      <c r="L152" s="99"/>
      <c r="M152" s="109"/>
      <c r="N152" s="6"/>
    </row>
    <row r="153" spans="1:14" ht="15.75">
      <c r="A153" s="108"/>
      <c r="B153" s="168" t="s">
        <v>106</v>
      </c>
      <c r="C153" s="68"/>
      <c r="D153" s="68"/>
      <c r="E153" s="68"/>
      <c r="F153" s="29"/>
      <c r="G153" s="29"/>
      <c r="H153" s="29"/>
      <c r="I153" s="29"/>
      <c r="J153" s="67">
        <f>H67</f>
        <v>35096</v>
      </c>
      <c r="K153" s="29"/>
      <c r="L153" s="99"/>
      <c r="M153" s="109"/>
      <c r="N153" s="6"/>
    </row>
    <row r="154" spans="1:14" ht="15.75">
      <c r="A154" s="111"/>
      <c r="B154" s="168" t="s">
        <v>107</v>
      </c>
      <c r="C154" s="68"/>
      <c r="D154" s="93"/>
      <c r="E154" s="93"/>
      <c r="F154" s="93"/>
      <c r="G154" s="29"/>
      <c r="H154" s="29"/>
      <c r="I154" s="29"/>
      <c r="J154" s="112"/>
      <c r="K154" s="29"/>
      <c r="L154" s="99"/>
      <c r="M154" s="113"/>
      <c r="N154" s="6"/>
    </row>
    <row r="155" spans="1:14" ht="15.75">
      <c r="A155" s="108"/>
      <c r="B155" s="93" t="s">
        <v>108</v>
      </c>
      <c r="C155" s="68"/>
      <c r="D155" s="68"/>
      <c r="E155" s="68"/>
      <c r="F155" s="68"/>
      <c r="G155" s="29"/>
      <c r="H155" s="29"/>
      <c r="I155" s="29"/>
      <c r="J155" s="67">
        <f>L116</f>
        <v>1440</v>
      </c>
      <c r="K155" s="29"/>
      <c r="L155" s="99"/>
      <c r="M155" s="113"/>
      <c r="N155" s="6"/>
    </row>
    <row r="156" spans="1:14" ht="15.75">
      <c r="A156" s="108"/>
      <c r="B156" s="93" t="s">
        <v>109</v>
      </c>
      <c r="C156" s="68"/>
      <c r="D156" s="68"/>
      <c r="E156" s="68"/>
      <c r="F156" s="68"/>
      <c r="G156" s="29"/>
      <c r="H156" s="29"/>
      <c r="I156" s="29"/>
      <c r="J156" s="67">
        <f>L116+'Aug 02'!J156</f>
        <v>13761</v>
      </c>
      <c r="K156" s="29"/>
      <c r="L156" s="99"/>
      <c r="M156" s="113"/>
      <c r="N156" s="6"/>
    </row>
    <row r="157" spans="1:14" ht="15.75">
      <c r="A157" s="108"/>
      <c r="B157" s="93" t="s">
        <v>110</v>
      </c>
      <c r="C157" s="68"/>
      <c r="D157" s="68"/>
      <c r="E157" s="68"/>
      <c r="F157" s="68"/>
      <c r="G157" s="29"/>
      <c r="H157" s="29"/>
      <c r="I157" s="29"/>
      <c r="J157" s="67"/>
      <c r="K157" s="29"/>
      <c r="L157" s="99"/>
      <c r="M157" s="113"/>
      <c r="N157" s="6"/>
    </row>
    <row r="158" spans="1:14" ht="15.75">
      <c r="A158" s="108"/>
      <c r="B158" s="93"/>
      <c r="C158" s="68"/>
      <c r="D158" s="68"/>
      <c r="E158" s="68"/>
      <c r="F158" s="68"/>
      <c r="G158" s="29"/>
      <c r="H158" s="29"/>
      <c r="I158" s="29"/>
      <c r="J158" s="67"/>
      <c r="K158" s="29"/>
      <c r="L158" s="99"/>
      <c r="M158" s="113"/>
      <c r="N158" s="6"/>
    </row>
    <row r="159" spans="1:14" ht="15.75">
      <c r="A159" s="111"/>
      <c r="B159" s="168" t="s">
        <v>111</v>
      </c>
      <c r="C159" s="68"/>
      <c r="D159" s="93"/>
      <c r="E159" s="93"/>
      <c r="F159" s="93"/>
      <c r="G159" s="29"/>
      <c r="H159" s="29"/>
      <c r="I159" s="29"/>
      <c r="J159" s="89"/>
      <c r="K159" s="29"/>
      <c r="L159" s="99"/>
      <c r="M159" s="113"/>
      <c r="N159" s="6"/>
    </row>
    <row r="160" spans="1:14" ht="15.75">
      <c r="A160" s="111"/>
      <c r="B160" s="93" t="s">
        <v>112</v>
      </c>
      <c r="C160" s="68"/>
      <c r="D160" s="93"/>
      <c r="E160" s="93"/>
      <c r="F160" s="93"/>
      <c r="G160" s="29"/>
      <c r="H160" s="29"/>
      <c r="I160" s="29"/>
      <c r="J160" s="89">
        <v>0</v>
      </c>
      <c r="K160" s="29"/>
      <c r="L160" s="99"/>
      <c r="M160" s="113"/>
      <c r="N160" s="6"/>
    </row>
    <row r="161" spans="1:14" ht="15.75">
      <c r="A161" s="108"/>
      <c r="B161" s="93" t="s">
        <v>113</v>
      </c>
      <c r="C161" s="68"/>
      <c r="D161" s="114"/>
      <c r="E161" s="114"/>
      <c r="F161" s="115"/>
      <c r="G161" s="29"/>
      <c r="H161" s="29"/>
      <c r="I161" s="29"/>
      <c r="J161" s="89">
        <v>0</v>
      </c>
      <c r="K161" s="29"/>
      <c r="L161" s="99"/>
      <c r="M161" s="113"/>
      <c r="N161" s="6"/>
    </row>
    <row r="162" spans="1:14" ht="15.75">
      <c r="A162" s="108"/>
      <c r="B162" s="93" t="s">
        <v>114</v>
      </c>
      <c r="C162" s="68"/>
      <c r="D162" s="114"/>
      <c r="E162" s="114"/>
      <c r="F162" s="115"/>
      <c r="G162" s="29"/>
      <c r="H162" s="29"/>
      <c r="I162" s="29"/>
      <c r="J162" s="89">
        <v>0</v>
      </c>
      <c r="K162" s="29"/>
      <c r="L162" s="99"/>
      <c r="M162" s="113"/>
      <c r="N162" s="6"/>
    </row>
    <row r="163" spans="1:14" ht="15.75">
      <c r="A163" s="108"/>
      <c r="B163" s="93" t="s">
        <v>115</v>
      </c>
      <c r="C163" s="68"/>
      <c r="D163" s="116"/>
      <c r="E163" s="114"/>
      <c r="F163" s="115"/>
      <c r="G163" s="29"/>
      <c r="H163" s="29"/>
      <c r="I163" s="29"/>
      <c r="J163" s="89">
        <v>0</v>
      </c>
      <c r="K163" s="29"/>
      <c r="L163" s="99"/>
      <c r="M163" s="113"/>
      <c r="N163" s="6"/>
    </row>
    <row r="164" spans="1:14" ht="15.75">
      <c r="A164" s="108"/>
      <c r="B164" s="93"/>
      <c r="C164" s="68"/>
      <c r="D164" s="116"/>
      <c r="E164" s="114"/>
      <c r="F164" s="115"/>
      <c r="G164" s="29"/>
      <c r="H164" s="29"/>
      <c r="I164" s="29"/>
      <c r="J164" s="89"/>
      <c r="K164" s="29"/>
      <c r="L164" s="99"/>
      <c r="M164" s="113"/>
      <c r="N164" s="6"/>
    </row>
    <row r="165" spans="1:14" ht="15.75">
      <c r="A165" s="108"/>
      <c r="B165" s="168" t="s">
        <v>116</v>
      </c>
      <c r="C165" s="68"/>
      <c r="D165" s="68"/>
      <c r="E165" s="116"/>
      <c r="F165" s="114"/>
      <c r="G165" s="115"/>
      <c r="H165" s="29"/>
      <c r="I165" s="36"/>
      <c r="J165" s="36"/>
      <c r="K165" s="117"/>
      <c r="L165" s="36"/>
      <c r="M165" s="99"/>
      <c r="N165" s="6"/>
    </row>
    <row r="166" spans="1:14" ht="15.75">
      <c r="A166" s="108"/>
      <c r="B166" s="93" t="s">
        <v>117</v>
      </c>
      <c r="C166" s="68"/>
      <c r="D166" s="68"/>
      <c r="E166" s="116"/>
      <c r="F166" s="114"/>
      <c r="G166" s="115"/>
      <c r="H166" s="29"/>
      <c r="I166" s="36"/>
      <c r="J166" s="118">
        <v>40</v>
      </c>
      <c r="K166" s="118"/>
      <c r="L166" s="36"/>
      <c r="M166" s="99"/>
      <c r="N166" s="6"/>
    </row>
    <row r="167" spans="1:14" ht="15.75">
      <c r="A167" s="108"/>
      <c r="B167" s="93" t="s">
        <v>113</v>
      </c>
      <c r="C167" s="68"/>
      <c r="D167" s="68"/>
      <c r="E167" s="116"/>
      <c r="F167" s="114"/>
      <c r="G167" s="115"/>
      <c r="H167" s="29"/>
      <c r="I167" s="36"/>
      <c r="J167" s="118">
        <v>3.66</v>
      </c>
      <c r="K167" s="118"/>
      <c r="L167" s="36"/>
      <c r="M167" s="99"/>
      <c r="N167" s="6"/>
    </row>
    <row r="168" spans="1:14" ht="15.75">
      <c r="A168" s="108"/>
      <c r="B168" s="93" t="s">
        <v>118</v>
      </c>
      <c r="C168" s="68"/>
      <c r="D168" s="68"/>
      <c r="E168" s="116"/>
      <c r="F168" s="114"/>
      <c r="G168" s="115"/>
      <c r="H168" s="29"/>
      <c r="I168" s="36"/>
      <c r="J168" s="118">
        <v>35</v>
      </c>
      <c r="K168" s="118"/>
      <c r="L168" s="36"/>
      <c r="M168" s="99"/>
      <c r="N168" s="6"/>
    </row>
    <row r="169" spans="1:14" ht="15.75">
      <c r="A169" s="108"/>
      <c r="B169" s="93"/>
      <c r="C169" s="68"/>
      <c r="D169" s="116"/>
      <c r="E169" s="114"/>
      <c r="F169" s="115"/>
      <c r="G169" s="29"/>
      <c r="H169" s="29"/>
      <c r="I169" s="29"/>
      <c r="J169" s="89"/>
      <c r="K169" s="29"/>
      <c r="L169" s="99"/>
      <c r="M169" s="113"/>
      <c r="N169" s="6"/>
    </row>
    <row r="170" spans="1:14" ht="15.75">
      <c r="A170" s="28"/>
      <c r="B170" s="119" t="s">
        <v>119</v>
      </c>
      <c r="C170" s="120"/>
      <c r="D170" s="121"/>
      <c r="E170" s="120"/>
      <c r="F170" s="121"/>
      <c r="G170" s="120"/>
      <c r="H170" s="121"/>
      <c r="I170" s="120"/>
      <c r="J170" s="121"/>
      <c r="K170" s="120"/>
      <c r="L170" s="122"/>
      <c r="M170" s="113"/>
      <c r="N170" s="6"/>
    </row>
    <row r="171" spans="1:14" ht="15.75">
      <c r="A171" s="28"/>
      <c r="B171" s="33"/>
      <c r="C171" s="84"/>
      <c r="D171" s="119" t="s">
        <v>151</v>
      </c>
      <c r="E171" s="120"/>
      <c r="F171" s="121"/>
      <c r="G171" s="120"/>
      <c r="H171" s="119" t="s">
        <v>39</v>
      </c>
      <c r="I171" s="120"/>
      <c r="J171" s="121"/>
      <c r="K171" s="120"/>
      <c r="L171" s="122"/>
      <c r="M171" s="113"/>
      <c r="N171" s="6"/>
    </row>
    <row r="172" spans="1:14" ht="15.75">
      <c r="A172" s="28"/>
      <c r="B172" s="84"/>
      <c r="C172" s="121" t="s">
        <v>141</v>
      </c>
      <c r="D172" s="120" t="s">
        <v>152</v>
      </c>
      <c r="E172" s="121" t="s">
        <v>157</v>
      </c>
      <c r="F172" s="120" t="s">
        <v>152</v>
      </c>
      <c r="G172" s="120"/>
      <c r="H172" s="121" t="s">
        <v>141</v>
      </c>
      <c r="I172" s="120" t="s">
        <v>152</v>
      </c>
      <c r="J172" s="121" t="s">
        <v>157</v>
      </c>
      <c r="K172" s="120" t="s">
        <v>152</v>
      </c>
      <c r="L172" s="122"/>
      <c r="M172" s="113"/>
      <c r="N172" s="6"/>
    </row>
    <row r="173" spans="1:14" ht="15.75">
      <c r="A173" s="28"/>
      <c r="B173" s="68" t="s">
        <v>120</v>
      </c>
      <c r="C173" s="123">
        <v>8960</v>
      </c>
      <c r="D173" s="96">
        <f>C173/C177</f>
        <v>0.8293992409515876</v>
      </c>
      <c r="E173" s="123">
        <v>52864</v>
      </c>
      <c r="F173" s="96">
        <f>E173/E177</f>
        <v>0.8794250731966995</v>
      </c>
      <c r="G173" s="120"/>
      <c r="H173" s="123">
        <v>37284</v>
      </c>
      <c r="I173" s="96">
        <f>H173/H177</f>
        <v>0.9255976763238252</v>
      </c>
      <c r="J173" s="123">
        <v>26991</v>
      </c>
      <c r="K173" s="96">
        <f>J173/J177</f>
        <v>0.9125671974845319</v>
      </c>
      <c r="L173" s="122"/>
      <c r="M173" s="113"/>
      <c r="N173" s="6"/>
    </row>
    <row r="174" spans="1:14" ht="15.75">
      <c r="A174" s="28"/>
      <c r="B174" s="68" t="s">
        <v>121</v>
      </c>
      <c r="C174" s="123">
        <v>176</v>
      </c>
      <c r="D174" s="96">
        <f>C174/$C$177</f>
        <v>0.016291770804406185</v>
      </c>
      <c r="E174" s="123">
        <v>964</v>
      </c>
      <c r="F174" s="96">
        <f>E174/$E$177</f>
        <v>0.01603673143465531</v>
      </c>
      <c r="G174" s="120"/>
      <c r="H174" s="123">
        <v>432</v>
      </c>
      <c r="I174" s="96">
        <f>H174/$H$177</f>
        <v>0.01072465926863782</v>
      </c>
      <c r="J174" s="123">
        <v>333</v>
      </c>
      <c r="K174" s="96">
        <f>J174/$J$177</f>
        <v>0.011258748351759813</v>
      </c>
      <c r="L174" s="122"/>
      <c r="M174" s="113"/>
      <c r="N174" s="6"/>
    </row>
    <row r="175" spans="1:14" ht="15.75">
      <c r="A175" s="28"/>
      <c r="B175" s="68" t="s">
        <v>122</v>
      </c>
      <c r="C175" s="123">
        <v>139</v>
      </c>
      <c r="D175" s="96">
        <f>C175/$C$177</f>
        <v>0.012866796260298066</v>
      </c>
      <c r="E175" s="123">
        <v>806</v>
      </c>
      <c r="F175" s="96">
        <f>E175/$E$177</f>
        <v>0.013408304498269897</v>
      </c>
      <c r="G175" s="120"/>
      <c r="H175" s="123">
        <v>313</v>
      </c>
      <c r="I175" s="96">
        <f>H175/$H$177</f>
        <v>0.007770412849730643</v>
      </c>
      <c r="J175" s="123">
        <v>224</v>
      </c>
      <c r="K175" s="96">
        <f>J175/$J$177</f>
        <v>0.007573452344727322</v>
      </c>
      <c r="L175" s="122"/>
      <c r="M175" s="113"/>
      <c r="N175" s="6"/>
    </row>
    <row r="176" spans="1:16" ht="15.75">
      <c r="A176" s="28"/>
      <c r="B176" s="68" t="s">
        <v>123</v>
      </c>
      <c r="C176" s="123">
        <f>128+1400</f>
        <v>1528</v>
      </c>
      <c r="D176" s="96">
        <f>C176/$C$177</f>
        <v>0.14144219198370822</v>
      </c>
      <c r="E176" s="123">
        <v>5478</v>
      </c>
      <c r="F176" s="96">
        <f>E176/$E$177</f>
        <v>0.0911298908703753</v>
      </c>
      <c r="G176" s="120"/>
      <c r="H176" s="123">
        <v>2252</v>
      </c>
      <c r="I176" s="96">
        <f>H176/$H$177</f>
        <v>0.05590725155780641</v>
      </c>
      <c r="J176" s="123">
        <v>2029</v>
      </c>
      <c r="K176" s="96">
        <f>J176/$J$177</f>
        <v>0.06860060181898096</v>
      </c>
      <c r="L176" s="122"/>
      <c r="M176" s="113"/>
      <c r="N176" s="6"/>
      <c r="P176" s="72"/>
    </row>
    <row r="177" spans="1:16" ht="15.75">
      <c r="A177" s="28"/>
      <c r="B177" s="68" t="s">
        <v>124</v>
      </c>
      <c r="C177" s="123">
        <f>SUM(C173:C176)</f>
        <v>10803</v>
      </c>
      <c r="D177" s="96">
        <f>SUM(D173:D176)</f>
        <v>1</v>
      </c>
      <c r="E177" s="123">
        <f>SUM(E173:E176)</f>
        <v>60112</v>
      </c>
      <c r="F177" s="96">
        <f>SUM(F173:F176)</f>
        <v>1</v>
      </c>
      <c r="G177" s="120"/>
      <c r="H177" s="123">
        <f>SUM(H173:H176)</f>
        <v>40281</v>
      </c>
      <c r="I177" s="96">
        <f>SUM(I173:I176)</f>
        <v>1.0000000000000002</v>
      </c>
      <c r="J177" s="123">
        <f>SUM(J173:J176)</f>
        <v>29577</v>
      </c>
      <c r="K177" s="96">
        <f>SUM(K173:K176)</f>
        <v>0.9999999999999999</v>
      </c>
      <c r="L177" s="122"/>
      <c r="M177" s="113"/>
      <c r="N177" s="6"/>
      <c r="P177" s="72"/>
    </row>
    <row r="178" spans="1:15" ht="15.75">
      <c r="A178" s="28"/>
      <c r="B178" s="68" t="s">
        <v>125</v>
      </c>
      <c r="C178" s="123">
        <v>2981</v>
      </c>
      <c r="D178" s="124"/>
      <c r="E178" s="123">
        <f>20240+14</f>
        <v>20254</v>
      </c>
      <c r="F178" s="124"/>
      <c r="G178" s="120"/>
      <c r="H178" s="123">
        <v>1828</v>
      </c>
      <c r="I178" s="124"/>
      <c r="J178" s="123">
        <v>2431</v>
      </c>
      <c r="K178" s="124"/>
      <c r="L178" s="122"/>
      <c r="M178" s="113"/>
      <c r="N178" s="6"/>
      <c r="O178" s="72"/>
    </row>
    <row r="179" spans="1:17" ht="15.75">
      <c r="A179" s="28"/>
      <c r="B179" s="68" t="s">
        <v>126</v>
      </c>
      <c r="C179" s="123">
        <f>SUM(C177:C178)</f>
        <v>13784</v>
      </c>
      <c r="D179" s="84"/>
      <c r="E179" s="123">
        <f>E178+E177</f>
        <v>80366</v>
      </c>
      <c r="F179" s="127"/>
      <c r="G179" s="84"/>
      <c r="H179" s="123">
        <f>SUM(H177:H178)</f>
        <v>42109</v>
      </c>
      <c r="I179" s="84"/>
      <c r="J179" s="123">
        <f>J178+J177</f>
        <v>32008</v>
      </c>
      <c r="K179" s="84"/>
      <c r="L179" s="84"/>
      <c r="M179" s="113"/>
      <c r="N179" s="6"/>
      <c r="P179" s="72"/>
      <c r="Q179" s="72"/>
    </row>
    <row r="180" spans="1:16" ht="15.75">
      <c r="A180" s="28"/>
      <c r="B180" s="68"/>
      <c r="C180" s="123"/>
      <c r="D180" s="127"/>
      <c r="E180" s="123"/>
      <c r="F180" s="127"/>
      <c r="G180" s="120"/>
      <c r="H180" s="123"/>
      <c r="I180" s="127"/>
      <c r="J180" s="123"/>
      <c r="K180" s="127"/>
      <c r="L180" s="122"/>
      <c r="M180" s="113"/>
      <c r="N180" s="6"/>
      <c r="P180" s="72"/>
    </row>
    <row r="181" spans="1:15" ht="15.75">
      <c r="A181" s="28"/>
      <c r="B181" s="68"/>
      <c r="C181" s="120"/>
      <c r="D181" s="119" t="s">
        <v>40</v>
      </c>
      <c r="E181" s="120"/>
      <c r="F181" s="121"/>
      <c r="G181" s="120"/>
      <c r="H181" s="119" t="s">
        <v>41</v>
      </c>
      <c r="I181" s="120"/>
      <c r="J181" s="121"/>
      <c r="K181" s="120"/>
      <c r="L181" s="122"/>
      <c r="M181" s="113"/>
      <c r="N181" s="6"/>
      <c r="O181" s="72"/>
    </row>
    <row r="182" spans="1:14" ht="15.75">
      <c r="A182" s="28"/>
      <c r="B182" s="84"/>
      <c r="C182" s="121" t="s">
        <v>141</v>
      </c>
      <c r="D182" s="120" t="s">
        <v>152</v>
      </c>
      <c r="E182" s="121" t="s">
        <v>157</v>
      </c>
      <c r="F182" s="120" t="s">
        <v>152</v>
      </c>
      <c r="G182" s="120"/>
      <c r="H182" s="121" t="s">
        <v>141</v>
      </c>
      <c r="I182" s="120" t="s">
        <v>152</v>
      </c>
      <c r="J182" s="121" t="s">
        <v>157</v>
      </c>
      <c r="K182" s="120" t="s">
        <v>152</v>
      </c>
      <c r="L182" s="122"/>
      <c r="M182" s="113"/>
      <c r="N182" s="6"/>
    </row>
    <row r="183" spans="1:15" ht="15.75">
      <c r="A183" s="28"/>
      <c r="B183" s="68" t="s">
        <v>120</v>
      </c>
      <c r="C183" s="123">
        <v>3172</v>
      </c>
      <c r="D183" s="96">
        <f>C183/C187</f>
        <v>0.9104477611940298</v>
      </c>
      <c r="E183" s="123">
        <v>43952</v>
      </c>
      <c r="F183" s="96">
        <f>E183/E187</f>
        <v>0.9556029047267035</v>
      </c>
      <c r="G183" s="120"/>
      <c r="H183" s="123">
        <v>10704</v>
      </c>
      <c r="I183" s="96">
        <f>H183/H187</f>
        <v>0.9683372534829021</v>
      </c>
      <c r="J183" s="123">
        <v>66642</v>
      </c>
      <c r="K183" s="96">
        <f>J183/J187</f>
        <v>0.9868064501799121</v>
      </c>
      <c r="L183" s="122"/>
      <c r="M183" s="113"/>
      <c r="N183" s="6"/>
      <c r="O183" s="72"/>
    </row>
    <row r="184" spans="1:14" ht="15.75">
      <c r="A184" s="28"/>
      <c r="B184" s="68" t="s">
        <v>121</v>
      </c>
      <c r="C184" s="123">
        <v>51</v>
      </c>
      <c r="D184" s="96">
        <f>C184/$C$187</f>
        <v>0.014638346727898967</v>
      </c>
      <c r="E184" s="123">
        <v>863</v>
      </c>
      <c r="F184" s="96">
        <f>E184/$E$187</f>
        <v>0.018763316954385354</v>
      </c>
      <c r="G184" s="120"/>
      <c r="H184" s="123">
        <v>45</v>
      </c>
      <c r="I184" s="96">
        <f>H184/$H$187</f>
        <v>0.004070924552198299</v>
      </c>
      <c r="J184" s="123">
        <v>335</v>
      </c>
      <c r="K184" s="96">
        <f>J184/$J$187</f>
        <v>0.0049605378111441814</v>
      </c>
      <c r="L184" s="122"/>
      <c r="M184" s="113"/>
      <c r="N184" s="6"/>
    </row>
    <row r="185" spans="1:14" ht="15.75">
      <c r="A185" s="28"/>
      <c r="B185" s="68" t="s">
        <v>122</v>
      </c>
      <c r="C185" s="123">
        <v>31</v>
      </c>
      <c r="D185" s="96">
        <f>C185/$C$187</f>
        <v>0.008897818599311137</v>
      </c>
      <c r="E185" s="123">
        <v>529</v>
      </c>
      <c r="F185" s="96">
        <f>E185/$E$187</f>
        <v>0.011501500195677698</v>
      </c>
      <c r="G185" s="120"/>
      <c r="H185" s="123">
        <v>21</v>
      </c>
      <c r="I185" s="96">
        <f>H185/$H$187</f>
        <v>0.001899764791025873</v>
      </c>
      <c r="J185" s="123">
        <v>163</v>
      </c>
      <c r="K185" s="96">
        <f>J185/$J$187</f>
        <v>0.0024136348155716462</v>
      </c>
      <c r="L185" s="122"/>
      <c r="M185" s="113"/>
      <c r="N185" s="6"/>
    </row>
    <row r="186" spans="1:14" ht="15.75">
      <c r="A186" s="28"/>
      <c r="B186" s="68" t="s">
        <v>123</v>
      </c>
      <c r="C186" s="123">
        <v>230</v>
      </c>
      <c r="D186" s="96">
        <f>C186/$C$187</f>
        <v>0.06601607347876004</v>
      </c>
      <c r="E186" s="123">
        <v>650</v>
      </c>
      <c r="F186" s="96">
        <f>E186/$E$187</f>
        <v>0.014132278123233465</v>
      </c>
      <c r="G186" s="120"/>
      <c r="H186" s="123">
        <v>284</v>
      </c>
      <c r="I186" s="96">
        <f>H186/$H$187</f>
        <v>0.02569205717387371</v>
      </c>
      <c r="J186" s="123">
        <v>393</v>
      </c>
      <c r="K186" s="96">
        <f>J186/$J$187</f>
        <v>0.005819377193372129</v>
      </c>
      <c r="L186" s="122"/>
      <c r="M186" s="113"/>
      <c r="N186" s="6"/>
    </row>
    <row r="187" spans="1:14" ht="15.75">
      <c r="A187" s="28"/>
      <c r="B187" s="68" t="str">
        <f>B177</f>
        <v>Total Performing  Assets</v>
      </c>
      <c r="C187" s="123">
        <f>SUM(C183:C186)</f>
        <v>3484</v>
      </c>
      <c r="D187" s="96">
        <f>SUM(D183:D186)</f>
        <v>1</v>
      </c>
      <c r="E187" s="123">
        <v>45994</v>
      </c>
      <c r="F187" s="96">
        <f>SUM(F183:F186)</f>
        <v>1</v>
      </c>
      <c r="G187" s="120"/>
      <c r="H187" s="123">
        <f>SUM(H183:H186)</f>
        <v>11054</v>
      </c>
      <c r="I187" s="96">
        <f>SUM(I183:I186)</f>
        <v>0.9999999999999999</v>
      </c>
      <c r="J187" s="123">
        <f>SUM(J183:J186)</f>
        <v>67533</v>
      </c>
      <c r="K187" s="96">
        <f>SUM(K183:K186)</f>
        <v>1</v>
      </c>
      <c r="L187" s="122"/>
      <c r="M187" s="113"/>
      <c r="N187" s="6"/>
    </row>
    <row r="188" spans="1:14" ht="15.75">
      <c r="A188" s="28"/>
      <c r="B188" s="68" t="s">
        <v>125</v>
      </c>
      <c r="C188" s="123">
        <v>2</v>
      </c>
      <c r="D188" s="126"/>
      <c r="E188" s="123">
        <v>6</v>
      </c>
      <c r="F188" s="124"/>
      <c r="G188" s="120"/>
      <c r="H188" s="123">
        <v>6</v>
      </c>
      <c r="I188" s="126"/>
      <c r="J188" s="123">
        <v>45</v>
      </c>
      <c r="K188" s="126"/>
      <c r="L188" s="122"/>
      <c r="M188" s="113"/>
      <c r="N188" s="6"/>
    </row>
    <row r="189" spans="1:15" ht="15.75">
      <c r="A189" s="28"/>
      <c r="B189" s="68" t="s">
        <v>126</v>
      </c>
      <c r="C189" s="123">
        <f>SUM(C187:C188)</f>
        <v>3486</v>
      </c>
      <c r="D189" s="84"/>
      <c r="E189" s="123">
        <f>E188+E187</f>
        <v>46000</v>
      </c>
      <c r="F189" s="127"/>
      <c r="G189" s="84"/>
      <c r="H189" s="123">
        <f>SUM(H187:H188)</f>
        <v>11060</v>
      </c>
      <c r="I189" s="84"/>
      <c r="J189" s="123">
        <f>J188+J187</f>
        <v>67578</v>
      </c>
      <c r="K189" s="84"/>
      <c r="L189" s="84"/>
      <c r="M189" s="84"/>
      <c r="N189" s="6"/>
      <c r="O189" s="72"/>
    </row>
    <row r="190" spans="1:14" ht="15.75">
      <c r="A190" s="28"/>
      <c r="B190" s="68"/>
      <c r="C190" s="120"/>
      <c r="D190" s="121"/>
      <c r="E190" s="120"/>
      <c r="F190" s="121"/>
      <c r="G190" s="120"/>
      <c r="H190" s="128"/>
      <c r="I190" s="120"/>
      <c r="J190" s="123"/>
      <c r="K190" s="120"/>
      <c r="L190" s="122"/>
      <c r="M190" s="113"/>
      <c r="N190" s="6"/>
    </row>
    <row r="191" spans="1:14" ht="15.75">
      <c r="A191" s="28"/>
      <c r="B191" s="68" t="s">
        <v>126</v>
      </c>
      <c r="C191" s="120"/>
      <c r="D191" s="121"/>
      <c r="E191" s="120"/>
      <c r="F191" s="121"/>
      <c r="G191" s="120"/>
      <c r="H191" s="128"/>
      <c r="I191" s="126"/>
      <c r="J191" s="123">
        <f>E179+J179+E189+J189</f>
        <v>225952</v>
      </c>
      <c r="K191" s="127"/>
      <c r="L191" s="122"/>
      <c r="M191" s="113"/>
      <c r="N191" s="6"/>
    </row>
    <row r="192" spans="1:14" ht="15.75">
      <c r="A192" s="28"/>
      <c r="B192" s="68"/>
      <c r="C192" s="120"/>
      <c r="D192" s="121"/>
      <c r="E192" s="120"/>
      <c r="F192" s="121"/>
      <c r="G192" s="120"/>
      <c r="H192" s="121"/>
      <c r="I192" s="120"/>
      <c r="J192" s="123"/>
      <c r="K192" s="126"/>
      <c r="L192" s="122"/>
      <c r="M192" s="113"/>
      <c r="N192" s="6"/>
    </row>
    <row r="193" spans="1:14" ht="15.75">
      <c r="A193" s="28"/>
      <c r="B193" s="129" t="s">
        <v>127</v>
      </c>
      <c r="C193" s="120"/>
      <c r="D193" s="121"/>
      <c r="E193" s="120"/>
      <c r="F193" s="121"/>
      <c r="G193" s="120"/>
      <c r="H193" s="121"/>
      <c r="I193" s="120"/>
      <c r="J193" s="123"/>
      <c r="K193" s="120"/>
      <c r="L193" s="122"/>
      <c r="M193" s="113"/>
      <c r="N193" s="6"/>
    </row>
    <row r="194" spans="1:14" ht="15.75">
      <c r="A194" s="28"/>
      <c r="B194" s="68"/>
      <c r="C194" s="120"/>
      <c r="D194" s="121"/>
      <c r="E194" s="120"/>
      <c r="F194" s="121"/>
      <c r="G194" s="120"/>
      <c r="H194" s="121"/>
      <c r="I194" s="120"/>
      <c r="J194" s="123"/>
      <c r="K194" s="120"/>
      <c r="L194" s="122"/>
      <c r="M194" s="113"/>
      <c r="N194" s="6"/>
    </row>
    <row r="195" spans="1:14" ht="15.75">
      <c r="A195" s="28"/>
      <c r="B195" s="68" t="s">
        <v>128</v>
      </c>
      <c r="C195" s="120"/>
      <c r="D195" s="121"/>
      <c r="E195" s="120"/>
      <c r="F195" s="121"/>
      <c r="G195" s="120"/>
      <c r="H195" s="121"/>
      <c r="I195" s="120"/>
      <c r="J195" s="123">
        <f>E177+J177+E187+J187</f>
        <v>203216</v>
      </c>
      <c r="K195" s="120"/>
      <c r="L195" s="122"/>
      <c r="M195" s="113"/>
      <c r="N195" s="6"/>
    </row>
    <row r="196" spans="1:14" ht="15.75">
      <c r="A196" s="28"/>
      <c r="B196" s="68" t="s">
        <v>129</v>
      </c>
      <c r="C196" s="120"/>
      <c r="D196" s="121"/>
      <c r="E196" s="120"/>
      <c r="F196" s="121"/>
      <c r="G196" s="120"/>
      <c r="H196" s="121"/>
      <c r="I196" s="120"/>
      <c r="J196" s="123">
        <f>L93</f>
        <v>49573</v>
      </c>
      <c r="K196" s="120"/>
      <c r="L196" s="122"/>
      <c r="M196" s="113"/>
      <c r="N196" s="6"/>
    </row>
    <row r="197" spans="1:14" ht="15.75">
      <c r="A197" s="28"/>
      <c r="B197" s="68" t="s">
        <v>130</v>
      </c>
      <c r="C197" s="120"/>
      <c r="D197" s="121"/>
      <c r="E197" s="120"/>
      <c r="F197" s="121"/>
      <c r="G197" s="120"/>
      <c r="H197" s="121"/>
      <c r="I197" s="120"/>
      <c r="J197" s="123">
        <v>-1789</v>
      </c>
      <c r="K197" s="120"/>
      <c r="L197" s="122"/>
      <c r="M197" s="113"/>
      <c r="N197" s="6"/>
    </row>
    <row r="198" spans="1:14" ht="15.75">
      <c r="A198" s="28"/>
      <c r="B198" s="68" t="s">
        <v>131</v>
      </c>
      <c r="C198" s="120"/>
      <c r="D198" s="121"/>
      <c r="E198" s="120"/>
      <c r="F198" s="121"/>
      <c r="G198" s="120"/>
      <c r="H198" s="121"/>
      <c r="I198" s="120"/>
      <c r="J198" s="123">
        <f>SUM(J195:J197)</f>
        <v>251000</v>
      </c>
      <c r="K198" s="120"/>
      <c r="L198" s="122"/>
      <c r="M198" s="113"/>
      <c r="N198" s="6"/>
    </row>
    <row r="199" spans="1:14" ht="15.75">
      <c r="A199" s="28"/>
      <c r="B199" s="68"/>
      <c r="C199" s="120"/>
      <c r="D199" s="121"/>
      <c r="E199" s="120"/>
      <c r="F199" s="121"/>
      <c r="G199" s="120"/>
      <c r="H199" s="121"/>
      <c r="I199" s="120"/>
      <c r="J199" s="123"/>
      <c r="K199" s="120"/>
      <c r="L199" s="122"/>
      <c r="M199" s="113"/>
      <c r="N199" s="6"/>
    </row>
    <row r="200" spans="1:14" ht="15.75">
      <c r="A200" s="28"/>
      <c r="B200" s="68" t="s">
        <v>132</v>
      </c>
      <c r="C200" s="120"/>
      <c r="D200" s="121"/>
      <c r="E200" s="120"/>
      <c r="F200" s="121"/>
      <c r="G200" s="120"/>
      <c r="H200" s="121"/>
      <c r="I200" s="120"/>
      <c r="J200" s="123">
        <f>L30</f>
        <v>251000</v>
      </c>
      <c r="K200" s="120"/>
      <c r="L200" s="122"/>
      <c r="M200" s="113"/>
      <c r="N200" s="6"/>
    </row>
    <row r="201" spans="1:14" ht="15.75">
      <c r="A201" s="28"/>
      <c r="B201" s="68"/>
      <c r="C201" s="120"/>
      <c r="D201" s="121"/>
      <c r="E201" s="120"/>
      <c r="F201" s="121"/>
      <c r="G201" s="120"/>
      <c r="H201" s="121"/>
      <c r="I201" s="120"/>
      <c r="J201" s="123"/>
      <c r="K201" s="120"/>
      <c r="L201" s="122"/>
      <c r="M201" s="113"/>
      <c r="N201" s="6"/>
    </row>
    <row r="202" spans="1:14" ht="15.75">
      <c r="A202" s="28"/>
      <c r="B202" s="68" t="s">
        <v>133</v>
      </c>
      <c r="C202" s="120"/>
      <c r="D202" s="121"/>
      <c r="E202" s="120"/>
      <c r="F202" s="121"/>
      <c r="G202" s="120"/>
      <c r="H202" s="121"/>
      <c r="I202" s="120"/>
      <c r="J202" s="123">
        <f>J198/J200</f>
        <v>1</v>
      </c>
      <c r="K202" s="120"/>
      <c r="L202" s="122"/>
      <c r="M202" s="113"/>
      <c r="N202" s="6"/>
    </row>
    <row r="203" spans="1:14" ht="15.75">
      <c r="A203" s="28"/>
      <c r="B203" s="29"/>
      <c r="C203" s="29"/>
      <c r="D203" s="36"/>
      <c r="E203" s="29"/>
      <c r="F203" s="29"/>
      <c r="G203" s="29"/>
      <c r="H203" s="66"/>
      <c r="I203" s="130"/>
      <c r="J203" s="67"/>
      <c r="K203" s="130"/>
      <c r="L203" s="99"/>
      <c r="M203" s="29"/>
      <c r="N203" s="6"/>
    </row>
    <row r="204" spans="1:14" ht="15.75">
      <c r="A204" s="131"/>
      <c r="B204" s="33" t="s">
        <v>134</v>
      </c>
      <c r="C204" s="132"/>
      <c r="D204" s="120" t="s">
        <v>153</v>
      </c>
      <c r="E204" s="122"/>
      <c r="F204" s="33" t="s">
        <v>166</v>
      </c>
      <c r="G204" s="133"/>
      <c r="H204" s="133"/>
      <c r="I204" s="133"/>
      <c r="J204" s="134"/>
      <c r="K204" s="32"/>
      <c r="L204" s="32"/>
      <c r="M204" s="32"/>
      <c r="N204" s="6"/>
    </row>
    <row r="205" spans="1:14" ht="15.75">
      <c r="A205" s="135"/>
      <c r="B205" s="15" t="s">
        <v>135</v>
      </c>
      <c r="C205" s="136"/>
      <c r="D205" s="137" t="s">
        <v>154</v>
      </c>
      <c r="E205" s="15"/>
      <c r="F205" s="15" t="s">
        <v>167</v>
      </c>
      <c r="G205" s="136"/>
      <c r="H205" s="136"/>
      <c r="I205" s="14"/>
      <c r="J205" s="14"/>
      <c r="K205" s="14"/>
      <c r="L205" s="14"/>
      <c r="M205" s="14"/>
      <c r="N205" s="6"/>
    </row>
    <row r="206" spans="1:14" ht="15.75">
      <c r="A206" s="135"/>
      <c r="B206" s="15" t="s">
        <v>136</v>
      </c>
      <c r="C206" s="136"/>
      <c r="D206" s="137" t="s">
        <v>155</v>
      </c>
      <c r="E206" s="15"/>
      <c r="F206" s="15" t="s">
        <v>168</v>
      </c>
      <c r="G206" s="136"/>
      <c r="H206" s="136"/>
      <c r="I206" s="14"/>
      <c r="J206" s="14"/>
      <c r="K206" s="14"/>
      <c r="L206" s="14"/>
      <c r="M206" s="14"/>
      <c r="N206" s="6"/>
    </row>
    <row r="207" spans="1:14" ht="15.75">
      <c r="A207" s="135"/>
      <c r="B207" s="15"/>
      <c r="C207" s="136"/>
      <c r="D207" s="137"/>
      <c r="E207" s="15"/>
      <c r="F207" s="15"/>
      <c r="G207" s="136"/>
      <c r="H207" s="136"/>
      <c r="I207" s="14"/>
      <c r="J207" s="14"/>
      <c r="K207" s="14"/>
      <c r="L207" s="14"/>
      <c r="M207" s="14"/>
      <c r="N207" s="6"/>
    </row>
    <row r="208" spans="1:14" ht="15.75">
      <c r="A208" s="135"/>
      <c r="B208" s="15"/>
      <c r="C208" s="136"/>
      <c r="D208" s="137"/>
      <c r="E208" s="15"/>
      <c r="F208" s="15"/>
      <c r="G208" s="136"/>
      <c r="H208" s="136"/>
      <c r="I208" s="14"/>
      <c r="J208" s="14"/>
      <c r="K208" s="14"/>
      <c r="L208" s="14"/>
      <c r="M208" s="14"/>
      <c r="N208" s="6"/>
    </row>
    <row r="209" spans="1:14" ht="15.75">
      <c r="A209" s="135"/>
      <c r="B209" s="15" t="str">
        <f>B148</f>
        <v>PPAF1 INVESTOR REPORT QUARTER ENDING NOVEMBER 2002</v>
      </c>
      <c r="C209" s="136"/>
      <c r="D209" s="137"/>
      <c r="E209" s="15"/>
      <c r="F209" s="15"/>
      <c r="G209" s="136"/>
      <c r="H209" s="136"/>
      <c r="I209" s="14"/>
      <c r="J209" s="14"/>
      <c r="K209" s="14"/>
      <c r="L209" s="14"/>
      <c r="M209" s="14"/>
      <c r="N209" s="6"/>
    </row>
    <row r="210" spans="1:13" ht="15">
      <c r="A210" s="138"/>
      <c r="B210" s="138"/>
      <c r="C210" s="138"/>
      <c r="D210" s="138"/>
      <c r="E210" s="138"/>
      <c r="F210" s="138"/>
      <c r="G210" s="138"/>
      <c r="H210" s="138"/>
      <c r="I210" s="138"/>
      <c r="J210" s="138"/>
      <c r="K210" s="138"/>
      <c r="L210" s="138"/>
      <c r="M210" s="138"/>
    </row>
  </sheetData>
  <printOptions horizontalCentered="1" verticalCentered="1"/>
  <pageMargins left="0.2362204724409449" right="0.4330708661417323" top="0.2362204724409449" bottom="0.7480314960629921" header="0" footer="0"/>
  <pageSetup horizontalDpi="600" verticalDpi="600" orientation="landscape" paperSize="9" scale="50" r:id="rId2"/>
  <rowBreaks count="4" manualBreakCount="4">
    <brk id="50" max="13" man="1"/>
    <brk id="97" max="13" man="1"/>
    <brk id="148" max="13" man="1"/>
    <brk id="210" max="0" man="1"/>
  </rowBreaks>
  <colBreaks count="1" manualBreakCount="1">
    <brk id="15" max="65535" man="1"/>
  </colBreaks>
  <drawing r:id="rId1"/>
</worksheet>
</file>

<file path=xl/worksheets/sheet7.xml><?xml version="1.0" encoding="utf-8"?>
<worksheet xmlns="http://schemas.openxmlformats.org/spreadsheetml/2006/main" xmlns:r="http://schemas.openxmlformats.org/officeDocument/2006/relationships">
  <dimension ref="A1:Q210"/>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1.6640625" style="1" customWidth="1"/>
    <col min="3" max="3" width="12.6640625" style="1" customWidth="1"/>
    <col min="4" max="4" width="14.6640625" style="1" customWidth="1"/>
    <col min="5" max="5" width="11.6640625" style="1" customWidth="1"/>
    <col min="6" max="6" width="14.6640625" style="1" customWidth="1"/>
    <col min="7" max="7" width="7.6640625" style="1" customWidth="1"/>
    <col min="8" max="8" width="13.6640625" style="1" customWidth="1"/>
    <col min="9" max="9" width="9.6640625" style="1" customWidth="1"/>
    <col min="10" max="10" width="13.6640625" style="1" customWidth="1"/>
    <col min="11" max="11" width="8.6640625" style="1" customWidth="1"/>
    <col min="12" max="12" width="15.6640625" style="1" customWidth="1"/>
    <col min="13" max="13" width="9.886718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8"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2" t="s">
        <v>2</v>
      </c>
      <c r="C5" s="13"/>
      <c r="D5" s="9"/>
      <c r="E5" s="9"/>
      <c r="F5" s="9"/>
      <c r="G5" s="9"/>
      <c r="H5" s="9"/>
      <c r="I5" s="9"/>
      <c r="J5" s="9"/>
      <c r="K5" s="9"/>
      <c r="L5" s="9"/>
      <c r="M5" s="9"/>
      <c r="N5" s="6"/>
    </row>
    <row r="6" spans="1:14" ht="15.75">
      <c r="A6" s="7"/>
      <c r="B6" s="12" t="s">
        <v>3</v>
      </c>
      <c r="C6" s="13"/>
      <c r="D6" s="9"/>
      <c r="E6" s="9"/>
      <c r="F6" s="9"/>
      <c r="G6" s="9"/>
      <c r="H6" s="9"/>
      <c r="I6" s="9"/>
      <c r="J6" s="9"/>
      <c r="K6" s="9"/>
      <c r="L6" s="9"/>
      <c r="M6" s="9"/>
      <c r="N6" s="6"/>
    </row>
    <row r="7" spans="1:14" ht="15.75">
      <c r="A7" s="7"/>
      <c r="B7" s="12" t="s">
        <v>4</v>
      </c>
      <c r="C7" s="13"/>
      <c r="D7" s="9"/>
      <c r="E7" s="9"/>
      <c r="F7" s="9"/>
      <c r="G7" s="9"/>
      <c r="H7" s="9"/>
      <c r="I7" s="9"/>
      <c r="J7" s="9"/>
      <c r="K7" s="9"/>
      <c r="L7" s="9"/>
      <c r="M7" s="9"/>
      <c r="N7" s="6"/>
    </row>
    <row r="8" spans="1:14" ht="15.75">
      <c r="A8" s="7"/>
      <c r="B8" s="14"/>
      <c r="C8" s="13"/>
      <c r="D8" s="9"/>
      <c r="E8" s="9"/>
      <c r="F8" s="9"/>
      <c r="G8" s="9"/>
      <c r="H8" s="9"/>
      <c r="I8" s="9"/>
      <c r="J8" s="9"/>
      <c r="K8" s="9"/>
      <c r="L8" s="9"/>
      <c r="M8" s="9"/>
      <c r="N8" s="6"/>
    </row>
    <row r="9" spans="1:14" ht="15.75">
      <c r="A9" s="7"/>
      <c r="B9" s="13"/>
      <c r="C9" s="13"/>
      <c r="D9" s="15"/>
      <c r="E9" s="15"/>
      <c r="F9" s="9"/>
      <c r="G9" s="9"/>
      <c r="H9" s="9"/>
      <c r="I9" s="9"/>
      <c r="J9" s="9"/>
      <c r="K9" s="9"/>
      <c r="L9" s="9"/>
      <c r="M9" s="9"/>
      <c r="N9" s="6"/>
    </row>
    <row r="10" spans="1:14" ht="15.75">
      <c r="A10" s="7"/>
      <c r="B10" s="15" t="s">
        <v>5</v>
      </c>
      <c r="C10" s="15"/>
      <c r="D10" s="9"/>
      <c r="E10" s="9"/>
      <c r="F10" s="9"/>
      <c r="G10" s="9"/>
      <c r="H10" s="9"/>
      <c r="I10" s="9"/>
      <c r="J10" s="9"/>
      <c r="K10" s="9"/>
      <c r="L10" s="9"/>
      <c r="M10" s="9"/>
      <c r="N10" s="6"/>
    </row>
    <row r="11" spans="1:14" ht="15.75">
      <c r="A11" s="7"/>
      <c r="B11" s="15"/>
      <c r="C11" s="15"/>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6" t="s">
        <v>6</v>
      </c>
      <c r="C13" s="16"/>
      <c r="D13" s="17"/>
      <c r="E13" s="17"/>
      <c r="F13" s="17"/>
      <c r="G13" s="17"/>
      <c r="H13" s="17"/>
      <c r="I13" s="17"/>
      <c r="J13" s="17"/>
      <c r="K13" s="17"/>
      <c r="L13" s="18" t="s">
        <v>186</v>
      </c>
      <c r="M13" s="9"/>
      <c r="N13" s="6"/>
    </row>
    <row r="14" spans="1:14" ht="15.75">
      <c r="A14" s="7"/>
      <c r="B14" s="16" t="s">
        <v>7</v>
      </c>
      <c r="C14" s="16"/>
      <c r="D14" s="19" t="s">
        <v>140</v>
      </c>
      <c r="E14" s="20">
        <v>0.348</v>
      </c>
      <c r="F14" s="19" t="s">
        <v>150</v>
      </c>
      <c r="G14" s="20">
        <v>0.229</v>
      </c>
      <c r="H14" s="19" t="s">
        <v>156</v>
      </c>
      <c r="I14" s="20">
        <v>0.098</v>
      </c>
      <c r="J14" s="19" t="s">
        <v>165</v>
      </c>
      <c r="K14" s="20">
        <v>0.1</v>
      </c>
      <c r="L14" s="18"/>
      <c r="M14" s="17"/>
      <c r="N14" s="6"/>
    </row>
    <row r="15" spans="1:14" ht="15.75">
      <c r="A15" s="7"/>
      <c r="B15" s="16" t="s">
        <v>8</v>
      </c>
      <c r="C15" s="16"/>
      <c r="D15" s="19" t="s">
        <v>140</v>
      </c>
      <c r="E15" s="20">
        <f>E177/($J$195+$L$93)</f>
        <v>0.24689365439160724</v>
      </c>
      <c r="F15" s="19" t="s">
        <v>150</v>
      </c>
      <c r="G15" s="20">
        <f>J177/($J$195+$L$93)</f>
        <v>0.1283600156652386</v>
      </c>
      <c r="H15" s="19" t="s">
        <v>156</v>
      </c>
      <c r="I15" s="20">
        <f>E187/($J$195+$L$93)</f>
        <v>0.28827599302184825</v>
      </c>
      <c r="J15" s="19" t="s">
        <v>165</v>
      </c>
      <c r="K15" s="20">
        <f>J187/($J$195+$L$93)</f>
        <v>0.28776964187523985</v>
      </c>
      <c r="L15" s="18"/>
      <c r="M15" s="17"/>
      <c r="N15" s="6"/>
    </row>
    <row r="16" spans="1:14" ht="15.75">
      <c r="A16" s="7"/>
      <c r="B16" s="16" t="s">
        <v>9</v>
      </c>
      <c r="C16" s="16"/>
      <c r="D16" s="17"/>
      <c r="E16" s="17"/>
      <c r="F16" s="17"/>
      <c r="G16" s="17"/>
      <c r="H16" s="17"/>
      <c r="I16" s="17"/>
      <c r="J16" s="17"/>
      <c r="K16" s="17"/>
      <c r="L16" s="178">
        <v>37070</v>
      </c>
      <c r="M16" s="9"/>
      <c r="N16" s="6"/>
    </row>
    <row r="17" spans="1:14" ht="15.75">
      <c r="A17" s="7"/>
      <c r="B17" s="16" t="s">
        <v>10</v>
      </c>
      <c r="C17" s="16"/>
      <c r="D17" s="17"/>
      <c r="E17" s="17"/>
      <c r="F17" s="17"/>
      <c r="G17" s="17"/>
      <c r="H17" s="17"/>
      <c r="I17" s="17"/>
      <c r="J17" s="17"/>
      <c r="K17" s="17"/>
      <c r="L17" s="21">
        <v>37704</v>
      </c>
      <c r="M17" s="9"/>
      <c r="N17" s="6"/>
    </row>
    <row r="18" spans="1:14" ht="15.75">
      <c r="A18" s="7"/>
      <c r="B18" s="9"/>
      <c r="C18" s="9"/>
      <c r="D18" s="9"/>
      <c r="E18" s="9"/>
      <c r="F18" s="9"/>
      <c r="G18" s="9"/>
      <c r="H18" s="9"/>
      <c r="I18" s="9"/>
      <c r="J18" s="9"/>
      <c r="K18" s="9"/>
      <c r="L18" s="22"/>
      <c r="M18" s="9"/>
      <c r="N18" s="6"/>
    </row>
    <row r="19" spans="1:14" ht="15.75">
      <c r="A19" s="7"/>
      <c r="B19" s="23" t="s">
        <v>11</v>
      </c>
      <c r="C19" s="9"/>
      <c r="D19" s="9"/>
      <c r="E19" s="9"/>
      <c r="F19" s="9"/>
      <c r="G19" s="9"/>
      <c r="H19" s="9"/>
      <c r="I19" s="9"/>
      <c r="J19" s="22"/>
      <c r="K19" s="9"/>
      <c r="L19" s="14"/>
      <c r="M19" s="9"/>
      <c r="N19" s="6"/>
    </row>
    <row r="20" spans="1:14" ht="15.75">
      <c r="A20" s="7"/>
      <c r="B20" s="9"/>
      <c r="C20" s="9"/>
      <c r="D20" s="9"/>
      <c r="E20" s="9"/>
      <c r="F20" s="9"/>
      <c r="G20" s="9"/>
      <c r="H20" s="9"/>
      <c r="I20" s="9"/>
      <c r="J20" s="9"/>
      <c r="K20" s="9"/>
      <c r="L20" s="24"/>
      <c r="M20" s="9"/>
      <c r="N20" s="6"/>
    </row>
    <row r="21" spans="1:14" ht="15.75">
      <c r="A21" s="7"/>
      <c r="B21" s="9"/>
      <c r="C21" s="159" t="s">
        <v>137</v>
      </c>
      <c r="D21" s="161" t="s">
        <v>142</v>
      </c>
      <c r="E21" s="161"/>
      <c r="F21" s="161" t="s">
        <v>158</v>
      </c>
      <c r="G21" s="161"/>
      <c r="H21" s="161" t="s">
        <v>169</v>
      </c>
      <c r="I21" s="26"/>
      <c r="J21" s="27"/>
      <c r="K21" s="14"/>
      <c r="L21" s="14"/>
      <c r="M21" s="9"/>
      <c r="N21" s="6"/>
    </row>
    <row r="22" spans="1:14" ht="15.75">
      <c r="A22" s="28"/>
      <c r="B22" s="29" t="s">
        <v>12</v>
      </c>
      <c r="C22" s="160" t="s">
        <v>138</v>
      </c>
      <c r="D22" s="31" t="s">
        <v>143</v>
      </c>
      <c r="E22" s="31"/>
      <c r="F22" s="31" t="s">
        <v>159</v>
      </c>
      <c r="G22" s="31"/>
      <c r="H22" s="31" t="s">
        <v>170</v>
      </c>
      <c r="I22" s="31"/>
      <c r="J22" s="31"/>
      <c r="K22" s="32"/>
      <c r="L22" s="32"/>
      <c r="M22" s="29"/>
      <c r="N22" s="6"/>
    </row>
    <row r="23" spans="1:14" ht="15.75">
      <c r="A23" s="28"/>
      <c r="B23" s="29" t="s">
        <v>13</v>
      </c>
      <c r="C23" s="30"/>
      <c r="D23" s="31" t="s">
        <v>144</v>
      </c>
      <c r="E23" s="31"/>
      <c r="F23" s="31" t="s">
        <v>160</v>
      </c>
      <c r="G23" s="31"/>
      <c r="H23" s="31" t="s">
        <v>171</v>
      </c>
      <c r="I23" s="31"/>
      <c r="J23" s="31"/>
      <c r="K23" s="32"/>
      <c r="L23" s="32"/>
      <c r="M23" s="29"/>
      <c r="N23" s="6"/>
    </row>
    <row r="24" spans="1:14" ht="15.75">
      <c r="A24" s="28"/>
      <c r="B24" s="33" t="s">
        <v>14</v>
      </c>
      <c r="C24" s="33"/>
      <c r="D24" s="34" t="s">
        <v>143</v>
      </c>
      <c r="E24" s="34"/>
      <c r="F24" s="34" t="s">
        <v>159</v>
      </c>
      <c r="G24" s="34"/>
      <c r="H24" s="34" t="s">
        <v>170</v>
      </c>
      <c r="I24" s="34"/>
      <c r="J24" s="34"/>
      <c r="K24" s="35"/>
      <c r="L24" s="32"/>
      <c r="M24" s="29"/>
      <c r="N24" s="6"/>
    </row>
    <row r="25" spans="1:14" ht="15.75">
      <c r="A25" s="28"/>
      <c r="B25" s="33" t="s">
        <v>15</v>
      </c>
      <c r="C25" s="33"/>
      <c r="D25" s="34" t="s">
        <v>144</v>
      </c>
      <c r="E25" s="34"/>
      <c r="F25" s="34" t="s">
        <v>160</v>
      </c>
      <c r="G25" s="34"/>
      <c r="H25" s="34" t="s">
        <v>171</v>
      </c>
      <c r="I25" s="34"/>
      <c r="J25" s="34"/>
      <c r="K25" s="35"/>
      <c r="L25" s="32"/>
      <c r="M25" s="29"/>
      <c r="N25" s="6"/>
    </row>
    <row r="26" spans="1:14" ht="15.75">
      <c r="A26" s="28"/>
      <c r="B26" s="29" t="s">
        <v>16</v>
      </c>
      <c r="C26" s="29"/>
      <c r="D26" s="36" t="s">
        <v>145</v>
      </c>
      <c r="E26" s="31"/>
      <c r="F26" s="36" t="s">
        <v>161</v>
      </c>
      <c r="G26" s="31"/>
      <c r="H26" s="36" t="s">
        <v>172</v>
      </c>
      <c r="I26" s="31"/>
      <c r="J26" s="36"/>
      <c r="K26" s="32"/>
      <c r="L26" s="32"/>
      <c r="M26" s="29"/>
      <c r="N26" s="6"/>
    </row>
    <row r="27" spans="1:14" ht="15.75">
      <c r="A27" s="28"/>
      <c r="B27" s="29"/>
      <c r="C27" s="29"/>
      <c r="D27" s="29"/>
      <c r="E27" s="31"/>
      <c r="F27" s="31"/>
      <c r="G27" s="31"/>
      <c r="H27" s="31"/>
      <c r="I27" s="31"/>
      <c r="J27" s="31"/>
      <c r="K27" s="32"/>
      <c r="L27" s="32"/>
      <c r="M27" s="29"/>
      <c r="N27" s="6"/>
    </row>
    <row r="28" spans="1:14" ht="15.75">
      <c r="A28" s="28"/>
      <c r="B28" s="29" t="s">
        <v>17</v>
      </c>
      <c r="C28" s="29"/>
      <c r="D28" s="37">
        <v>178210</v>
      </c>
      <c r="E28" s="38"/>
      <c r="F28" s="37">
        <v>51450</v>
      </c>
      <c r="G28" s="37"/>
      <c r="H28" s="37">
        <v>21340</v>
      </c>
      <c r="I28" s="37"/>
      <c r="J28" s="37"/>
      <c r="K28" s="39"/>
      <c r="L28" s="37">
        <f>J28+H28+F28+D28</f>
        <v>251000</v>
      </c>
      <c r="M28" s="40"/>
      <c r="N28" s="6"/>
    </row>
    <row r="29" spans="1:14" ht="15.75">
      <c r="A29" s="28"/>
      <c r="B29" s="29" t="s">
        <v>18</v>
      </c>
      <c r="C29" s="44">
        <v>1</v>
      </c>
      <c r="D29" s="37">
        <v>178210</v>
      </c>
      <c r="E29" s="38"/>
      <c r="F29" s="37">
        <v>51450</v>
      </c>
      <c r="G29" s="37"/>
      <c r="H29" s="37">
        <v>21340</v>
      </c>
      <c r="I29" s="42"/>
      <c r="J29" s="37"/>
      <c r="K29" s="39"/>
      <c r="L29" s="37">
        <f>J29+H29+F29+D29</f>
        <v>251000</v>
      </c>
      <c r="M29" s="40"/>
      <c r="N29" s="6"/>
    </row>
    <row r="30" spans="1:14" ht="15.75">
      <c r="A30" s="43"/>
      <c r="B30" s="33" t="s">
        <v>19</v>
      </c>
      <c r="C30" s="44">
        <v>1</v>
      </c>
      <c r="D30" s="45">
        <v>178210</v>
      </c>
      <c r="E30" s="46"/>
      <c r="F30" s="45">
        <v>51450</v>
      </c>
      <c r="G30" s="45"/>
      <c r="H30" s="45">
        <v>21340</v>
      </c>
      <c r="I30" s="45"/>
      <c r="J30" s="45"/>
      <c r="K30" s="47"/>
      <c r="L30" s="45">
        <f>J30+H30+F30+D30</f>
        <v>251000</v>
      </c>
      <c r="M30" s="29"/>
      <c r="N30" s="6"/>
    </row>
    <row r="31" spans="1:14" ht="15.75">
      <c r="A31" s="28"/>
      <c r="B31" s="29" t="s">
        <v>20</v>
      </c>
      <c r="C31" s="48"/>
      <c r="D31" s="36" t="s">
        <v>146</v>
      </c>
      <c r="E31" s="29"/>
      <c r="F31" s="36" t="s">
        <v>162</v>
      </c>
      <c r="G31" s="36"/>
      <c r="H31" s="36" t="s">
        <v>173</v>
      </c>
      <c r="I31" s="36"/>
      <c r="J31" s="36"/>
      <c r="K31" s="32"/>
      <c r="L31" s="32"/>
      <c r="M31" s="29"/>
      <c r="N31" s="6"/>
    </row>
    <row r="32" spans="1:14" ht="15.75">
      <c r="A32" s="28"/>
      <c r="B32" s="29" t="s">
        <v>21</v>
      </c>
      <c r="C32" s="48"/>
      <c r="D32" s="49">
        <v>0.0429945</v>
      </c>
      <c r="E32" s="50"/>
      <c r="F32" s="49">
        <v>0.0485945</v>
      </c>
      <c r="G32" s="49"/>
      <c r="H32" s="49">
        <v>0.0625945</v>
      </c>
      <c r="I32" s="51"/>
      <c r="J32" s="49"/>
      <c r="K32" s="32"/>
      <c r="L32" s="51">
        <f>SUMPRODUCT(D32:J32,D30:J30)/L30</f>
        <v>0.045808778884462144</v>
      </c>
      <c r="M32" s="29"/>
      <c r="N32" s="6"/>
    </row>
    <row r="33" spans="1:14" ht="15.75">
      <c r="A33" s="28"/>
      <c r="B33" s="29" t="s">
        <v>22</v>
      </c>
      <c r="C33" s="48"/>
      <c r="D33" s="49">
        <v>0.0429</v>
      </c>
      <c r="E33" s="50"/>
      <c r="F33" s="49">
        <v>0.0485</v>
      </c>
      <c r="G33" s="49"/>
      <c r="H33" s="49">
        <v>0.0625</v>
      </c>
      <c r="I33" s="51"/>
      <c r="J33" s="49"/>
      <c r="K33" s="32"/>
      <c r="L33" s="32"/>
      <c r="M33" s="29"/>
      <c r="N33" s="6"/>
    </row>
    <row r="34" spans="1:14" ht="15.75">
      <c r="A34" s="28"/>
      <c r="B34" s="29" t="s">
        <v>23</v>
      </c>
      <c r="C34" s="48"/>
      <c r="D34" s="36" t="s">
        <v>147</v>
      </c>
      <c r="E34" s="29"/>
      <c r="F34" s="36" t="s">
        <v>147</v>
      </c>
      <c r="G34" s="36"/>
      <c r="H34" s="36" t="s">
        <v>147</v>
      </c>
      <c r="I34" s="36"/>
      <c r="J34" s="36"/>
      <c r="K34" s="32"/>
      <c r="L34" s="32"/>
      <c r="M34" s="29"/>
      <c r="N34" s="6"/>
    </row>
    <row r="35" spans="1:14" ht="15.75">
      <c r="A35" s="28"/>
      <c r="B35" s="29" t="s">
        <v>24</v>
      </c>
      <c r="C35" s="29"/>
      <c r="D35" s="52">
        <v>39248</v>
      </c>
      <c r="E35" s="29"/>
      <c r="F35" s="52">
        <v>39248</v>
      </c>
      <c r="G35" s="52"/>
      <c r="H35" s="52">
        <v>39248</v>
      </c>
      <c r="I35" s="36"/>
      <c r="J35" s="36"/>
      <c r="K35" s="32"/>
      <c r="L35" s="32"/>
      <c r="M35" s="29"/>
      <c r="N35" s="6"/>
    </row>
    <row r="36" spans="1:14" ht="15.75">
      <c r="A36" s="28"/>
      <c r="B36" s="29" t="s">
        <v>25</v>
      </c>
      <c r="C36" s="29"/>
      <c r="D36" s="36" t="s">
        <v>148</v>
      </c>
      <c r="E36" s="29"/>
      <c r="F36" s="36" t="s">
        <v>163</v>
      </c>
      <c r="G36" s="36"/>
      <c r="H36" s="36" t="s">
        <v>174</v>
      </c>
      <c r="I36" s="36"/>
      <c r="J36" s="36"/>
      <c r="K36" s="32"/>
      <c r="L36" s="32"/>
      <c r="M36" s="29"/>
      <c r="N36" s="6"/>
    </row>
    <row r="37" spans="1:14" ht="15.75">
      <c r="A37" s="28"/>
      <c r="B37" s="29"/>
      <c r="C37" s="29"/>
      <c r="D37" s="53"/>
      <c r="E37" s="53"/>
      <c r="F37" s="29"/>
      <c r="G37" s="53"/>
      <c r="H37" s="53"/>
      <c r="I37" s="53"/>
      <c r="J37" s="53"/>
      <c r="K37" s="53"/>
      <c r="L37" s="53"/>
      <c r="M37" s="29"/>
      <c r="N37" s="6"/>
    </row>
    <row r="38" spans="1:14" ht="15.75">
      <c r="A38" s="28"/>
      <c r="B38" s="29" t="s">
        <v>26</v>
      </c>
      <c r="C38" s="29"/>
      <c r="D38" s="29"/>
      <c r="E38" s="29"/>
      <c r="F38" s="50"/>
      <c r="G38" s="29"/>
      <c r="H38" s="50"/>
      <c r="I38" s="29"/>
      <c r="J38" s="29"/>
      <c r="K38" s="29"/>
      <c r="L38" s="51">
        <f>(H28+F28)/(D28)</f>
        <v>0.4084507042253521</v>
      </c>
      <c r="M38" s="29"/>
      <c r="N38" s="6"/>
    </row>
    <row r="39" spans="1:14" ht="15.75">
      <c r="A39" s="28"/>
      <c r="B39" s="29" t="s">
        <v>27</v>
      </c>
      <c r="C39" s="29"/>
      <c r="D39" s="29"/>
      <c r="E39" s="29"/>
      <c r="F39" s="50"/>
      <c r="G39" s="29"/>
      <c r="H39" s="50"/>
      <c r="I39" s="29"/>
      <c r="J39" s="29"/>
      <c r="K39" s="29"/>
      <c r="L39" s="51">
        <f>(H30+F30)/(D30)</f>
        <v>0.4084507042253521</v>
      </c>
      <c r="M39" s="29"/>
      <c r="N39" s="6"/>
    </row>
    <row r="40" spans="1:14" ht="15.75">
      <c r="A40" s="28"/>
      <c r="B40" s="29" t="s">
        <v>28</v>
      </c>
      <c r="C40" s="29"/>
      <c r="D40" s="29"/>
      <c r="E40" s="29"/>
      <c r="F40" s="50"/>
      <c r="G40" s="29"/>
      <c r="H40" s="50"/>
      <c r="I40" s="29"/>
      <c r="J40" s="36" t="s">
        <v>142</v>
      </c>
      <c r="K40" s="36" t="s">
        <v>185</v>
      </c>
      <c r="L40" s="37">
        <v>38766</v>
      </c>
      <c r="M40" s="29"/>
      <c r="N40" s="6"/>
    </row>
    <row r="41" spans="1:14" ht="15.75">
      <c r="A41" s="28"/>
      <c r="B41" s="29"/>
      <c r="C41" s="29"/>
      <c r="D41" s="29"/>
      <c r="E41" s="29"/>
      <c r="F41" s="29"/>
      <c r="G41" s="29"/>
      <c r="H41" s="29"/>
      <c r="I41" s="29"/>
      <c r="J41" s="29" t="s">
        <v>177</v>
      </c>
      <c r="K41" s="29"/>
      <c r="L41" s="54"/>
      <c r="M41" s="29"/>
      <c r="N41" s="6"/>
    </row>
    <row r="42" spans="1:14" ht="15.75">
      <c r="A42" s="28"/>
      <c r="B42" s="29" t="s">
        <v>29</v>
      </c>
      <c r="C42" s="29"/>
      <c r="D42" s="29"/>
      <c r="E42" s="29"/>
      <c r="F42" s="29"/>
      <c r="G42" s="29"/>
      <c r="H42" s="29"/>
      <c r="I42" s="29"/>
      <c r="J42" s="36"/>
      <c r="K42" s="36"/>
      <c r="L42" s="36" t="s">
        <v>187</v>
      </c>
      <c r="M42" s="29"/>
      <c r="N42" s="6"/>
    </row>
    <row r="43" spans="1:14" ht="15.75">
      <c r="A43" s="43"/>
      <c r="B43" s="33" t="s">
        <v>30</v>
      </c>
      <c r="C43" s="33"/>
      <c r="D43" s="33"/>
      <c r="E43" s="33"/>
      <c r="F43" s="33"/>
      <c r="G43" s="33"/>
      <c r="H43" s="33"/>
      <c r="I43" s="33"/>
      <c r="J43" s="55"/>
      <c r="K43" s="55"/>
      <c r="L43" s="56">
        <v>37697</v>
      </c>
      <c r="M43" s="33"/>
      <c r="N43" s="6"/>
    </row>
    <row r="44" spans="1:14" ht="15.75">
      <c r="A44" s="28"/>
      <c r="B44" s="29" t="s">
        <v>31</v>
      </c>
      <c r="C44" s="29"/>
      <c r="D44" s="29"/>
      <c r="E44" s="29"/>
      <c r="F44" s="29"/>
      <c r="G44" s="29"/>
      <c r="H44" s="32"/>
      <c r="I44" s="29">
        <f>L44-J44+1</f>
        <v>91</v>
      </c>
      <c r="J44" s="58">
        <v>37515</v>
      </c>
      <c r="K44" s="59"/>
      <c r="L44" s="58">
        <v>37605</v>
      </c>
      <c r="M44" s="29"/>
      <c r="N44" s="6"/>
    </row>
    <row r="45" spans="1:14" ht="15.75">
      <c r="A45" s="28"/>
      <c r="B45" s="29" t="s">
        <v>32</v>
      </c>
      <c r="C45" s="29"/>
      <c r="D45" s="29"/>
      <c r="E45" s="29"/>
      <c r="F45" s="29"/>
      <c r="G45" s="29"/>
      <c r="H45" s="32"/>
      <c r="I45" s="29">
        <f>L45-J45+1</f>
        <v>91</v>
      </c>
      <c r="J45" s="58">
        <v>37606</v>
      </c>
      <c r="K45" s="59"/>
      <c r="L45" s="58">
        <v>37696</v>
      </c>
      <c r="M45" s="29"/>
      <c r="N45" s="6"/>
    </row>
    <row r="46" spans="1:14" ht="15.75">
      <c r="A46" s="28"/>
      <c r="B46" s="29" t="s">
        <v>33</v>
      </c>
      <c r="C46" s="29"/>
      <c r="D46" s="29"/>
      <c r="E46" s="29"/>
      <c r="F46" s="29"/>
      <c r="G46" s="29"/>
      <c r="H46" s="29"/>
      <c r="I46" s="29"/>
      <c r="J46" s="58"/>
      <c r="K46" s="59"/>
      <c r="L46" s="58" t="s">
        <v>188</v>
      </c>
      <c r="M46" s="29"/>
      <c r="N46" s="6"/>
    </row>
    <row r="47" spans="1:14" ht="15.75">
      <c r="A47" s="28"/>
      <c r="B47" s="29" t="s">
        <v>34</v>
      </c>
      <c r="C47" s="29"/>
      <c r="D47" s="29"/>
      <c r="E47" s="29"/>
      <c r="F47" s="29"/>
      <c r="G47" s="29"/>
      <c r="H47" s="29"/>
      <c r="I47" s="29"/>
      <c r="J47" s="58"/>
      <c r="K47" s="59"/>
      <c r="L47" s="58">
        <v>37685</v>
      </c>
      <c r="M47" s="29"/>
      <c r="N47" s="6"/>
    </row>
    <row r="48" spans="1:14" ht="15.75">
      <c r="A48" s="28"/>
      <c r="B48" s="29"/>
      <c r="C48" s="29"/>
      <c r="D48" s="29"/>
      <c r="E48" s="29"/>
      <c r="F48" s="29"/>
      <c r="G48" s="29"/>
      <c r="H48" s="29"/>
      <c r="I48" s="29"/>
      <c r="J48" s="29"/>
      <c r="K48" s="29"/>
      <c r="L48" s="60"/>
      <c r="M48" s="29"/>
      <c r="N48" s="6"/>
    </row>
    <row r="49" spans="1:14" ht="15.75">
      <c r="A49" s="7"/>
      <c r="B49" s="9"/>
      <c r="C49" s="9"/>
      <c r="D49" s="9"/>
      <c r="E49" s="9"/>
      <c r="F49" s="9"/>
      <c r="G49" s="9"/>
      <c r="H49" s="9"/>
      <c r="I49" s="9"/>
      <c r="J49" s="9"/>
      <c r="K49" s="9"/>
      <c r="L49" s="61"/>
      <c r="M49" s="9"/>
      <c r="N49" s="6"/>
    </row>
    <row r="50" spans="1:14" ht="16.5" thickBot="1">
      <c r="A50" s="144"/>
      <c r="B50" s="145" t="s">
        <v>197</v>
      </c>
      <c r="C50" s="146"/>
      <c r="D50" s="146"/>
      <c r="E50" s="146"/>
      <c r="F50" s="146"/>
      <c r="G50" s="146"/>
      <c r="H50" s="146"/>
      <c r="I50" s="146"/>
      <c r="J50" s="146"/>
      <c r="K50" s="146"/>
      <c r="L50" s="147"/>
      <c r="M50" s="148"/>
      <c r="N50" s="6"/>
    </row>
    <row r="51" spans="1:14" ht="15.75">
      <c r="A51" s="2"/>
      <c r="B51" s="5"/>
      <c r="C51" s="5"/>
      <c r="D51" s="5"/>
      <c r="E51" s="5"/>
      <c r="F51" s="5"/>
      <c r="G51" s="5"/>
      <c r="H51" s="5"/>
      <c r="I51" s="5"/>
      <c r="J51" s="5"/>
      <c r="K51" s="5"/>
      <c r="L51" s="62"/>
      <c r="M51" s="5"/>
      <c r="N51" s="6"/>
    </row>
    <row r="52" spans="1:14" ht="15.75">
      <c r="A52" s="7"/>
      <c r="B52" s="63" t="s">
        <v>36</v>
      </c>
      <c r="C52" s="15"/>
      <c r="D52" s="9"/>
      <c r="E52" s="9"/>
      <c r="F52" s="9"/>
      <c r="G52" s="9"/>
      <c r="H52" s="9"/>
      <c r="I52" s="9"/>
      <c r="J52" s="9"/>
      <c r="K52" s="9"/>
      <c r="L52" s="64"/>
      <c r="M52" s="9"/>
      <c r="N52" s="6"/>
    </row>
    <row r="53" spans="1:14" ht="15.75">
      <c r="A53" s="7"/>
      <c r="B53" s="15"/>
      <c r="C53" s="15"/>
      <c r="D53" s="9"/>
      <c r="E53" s="9"/>
      <c r="F53" s="9"/>
      <c r="G53" s="9"/>
      <c r="H53" s="9"/>
      <c r="I53" s="9"/>
      <c r="J53" s="9"/>
      <c r="K53" s="9"/>
      <c r="L53" s="64"/>
      <c r="M53" s="9"/>
      <c r="N53" s="6"/>
    </row>
    <row r="54" spans="1:14" s="176" customFormat="1" ht="47.25">
      <c r="A54" s="170"/>
      <c r="B54" s="171"/>
      <c r="C54" s="172" t="s">
        <v>139</v>
      </c>
      <c r="D54" s="172" t="s">
        <v>149</v>
      </c>
      <c r="E54" s="172"/>
      <c r="F54" s="172" t="s">
        <v>164</v>
      </c>
      <c r="G54" s="172"/>
      <c r="H54" s="172" t="s">
        <v>175</v>
      </c>
      <c r="I54" s="172"/>
      <c r="J54" s="172" t="s">
        <v>178</v>
      </c>
      <c r="K54" s="172"/>
      <c r="L54" s="173" t="s">
        <v>189</v>
      </c>
      <c r="M54" s="174"/>
      <c r="N54" s="175"/>
    </row>
    <row r="55" spans="1:14" ht="15.75">
      <c r="A55" s="28"/>
      <c r="B55" s="29" t="s">
        <v>37</v>
      </c>
      <c r="C55" s="66">
        <f>81776+9633</f>
        <v>91409</v>
      </c>
      <c r="D55" s="66">
        <v>80365</v>
      </c>
      <c r="E55" s="66"/>
      <c r="F55" s="66">
        <f>2253+4078+166+5</f>
        <v>6502</v>
      </c>
      <c r="G55" s="66"/>
      <c r="H55" s="66">
        <f>5020+4532</f>
        <v>9552</v>
      </c>
      <c r="I55" s="66"/>
      <c r="J55" s="66">
        <v>0</v>
      </c>
      <c r="K55" s="66"/>
      <c r="L55" s="67">
        <f>D55-F55+H55-J55</f>
        <v>83415</v>
      </c>
      <c r="M55" s="29"/>
      <c r="N55" s="6"/>
    </row>
    <row r="56" spans="1:14" ht="15.75">
      <c r="A56" s="28"/>
      <c r="B56" s="29" t="s">
        <v>38</v>
      </c>
      <c r="C56" s="66">
        <v>1</v>
      </c>
      <c r="D56" s="66">
        <v>0</v>
      </c>
      <c r="E56" s="66"/>
      <c r="F56" s="66"/>
      <c r="G56" s="66"/>
      <c r="H56" s="66">
        <v>0</v>
      </c>
      <c r="I56" s="66"/>
      <c r="J56" s="66">
        <v>0</v>
      </c>
      <c r="K56" s="66"/>
      <c r="L56" s="67">
        <f>D56-F56</f>
        <v>0</v>
      </c>
      <c r="M56" s="29"/>
      <c r="N56" s="6"/>
    </row>
    <row r="57" spans="1:14" ht="15.75">
      <c r="A57" s="28"/>
      <c r="B57" s="29"/>
      <c r="C57" s="66"/>
      <c r="D57" s="66"/>
      <c r="E57" s="66"/>
      <c r="F57" s="66"/>
      <c r="G57" s="66"/>
      <c r="H57" s="66"/>
      <c r="I57" s="66"/>
      <c r="J57" s="66"/>
      <c r="K57" s="66"/>
      <c r="L57" s="67"/>
      <c r="M57" s="29"/>
      <c r="N57" s="6"/>
    </row>
    <row r="58" spans="1:14" ht="15.75">
      <c r="A58" s="28"/>
      <c r="B58" s="29" t="s">
        <v>39</v>
      </c>
      <c r="C58" s="66">
        <f>59449+801</f>
        <v>60250</v>
      </c>
      <c r="D58" s="66">
        <v>32008</v>
      </c>
      <c r="E58" s="66"/>
      <c r="F58" s="66">
        <v>11654</v>
      </c>
      <c r="G58" s="66"/>
      <c r="H58" s="66">
        <f>8399+5044+1276</f>
        <v>14719</v>
      </c>
      <c r="I58" s="66"/>
      <c r="J58" s="66">
        <f>SUM(J55:J57)</f>
        <v>0</v>
      </c>
      <c r="K58" s="66"/>
      <c r="L58" s="67">
        <f>D58-F58+H58-J58</f>
        <v>35073</v>
      </c>
      <c r="M58" s="29"/>
      <c r="N58" s="6"/>
    </row>
    <row r="59" spans="1:14" ht="15.75">
      <c r="A59" s="28"/>
      <c r="B59" s="29" t="s">
        <v>38</v>
      </c>
      <c r="C59" s="66">
        <v>136</v>
      </c>
      <c r="D59" s="66"/>
      <c r="E59" s="66"/>
      <c r="F59" s="66"/>
      <c r="G59" s="66"/>
      <c r="H59" s="66">
        <v>0</v>
      </c>
      <c r="I59" s="66"/>
      <c r="J59" s="66">
        <v>0</v>
      </c>
      <c r="K59" s="66"/>
      <c r="L59" s="68"/>
      <c r="M59" s="29"/>
      <c r="N59" s="6"/>
    </row>
    <row r="60" spans="1:14" ht="15.75">
      <c r="A60" s="28"/>
      <c r="B60" s="69"/>
      <c r="C60" s="66"/>
      <c r="D60" s="66"/>
      <c r="E60" s="66"/>
      <c r="F60" s="70"/>
      <c r="G60" s="66"/>
      <c r="H60" s="66"/>
      <c r="I60" s="66"/>
      <c r="J60" s="66"/>
      <c r="K60" s="66"/>
      <c r="L60" s="68"/>
      <c r="M60" s="29"/>
      <c r="N60" s="6"/>
    </row>
    <row r="61" spans="1:14" ht="15.75">
      <c r="A61" s="28"/>
      <c r="B61" s="29" t="s">
        <v>40</v>
      </c>
      <c r="C61" s="66">
        <v>25730</v>
      </c>
      <c r="D61" s="66">
        <v>46001</v>
      </c>
      <c r="E61" s="66"/>
      <c r="F61" s="66">
        <v>8291</v>
      </c>
      <c r="G61" s="66"/>
      <c r="H61" s="66">
        <f>24163+11016</f>
        <v>35179</v>
      </c>
      <c r="I61" s="66"/>
      <c r="J61" s="66">
        <v>0</v>
      </c>
      <c r="K61" s="66"/>
      <c r="L61" s="67">
        <f>D61-F61+H61-J61</f>
        <v>72889</v>
      </c>
      <c r="M61" s="29"/>
      <c r="N61" s="6"/>
    </row>
    <row r="62" spans="1:14" ht="15.75">
      <c r="A62" s="28"/>
      <c r="B62" s="29" t="s">
        <v>38</v>
      </c>
      <c r="C62" s="66">
        <v>260</v>
      </c>
      <c r="D62" s="67">
        <v>0</v>
      </c>
      <c r="E62" s="66"/>
      <c r="F62" s="66"/>
      <c r="G62" s="66"/>
      <c r="H62" s="66">
        <v>0</v>
      </c>
      <c r="I62" s="66"/>
      <c r="J62" s="66">
        <v>0</v>
      </c>
      <c r="K62" s="66"/>
      <c r="L62" s="67">
        <f>D62-F62+H62-J62</f>
        <v>0</v>
      </c>
      <c r="M62" s="29"/>
      <c r="N62" s="6"/>
    </row>
    <row r="63" spans="1:14" ht="15.75">
      <c r="A63" s="28"/>
      <c r="B63" s="29"/>
      <c r="C63" s="66"/>
      <c r="D63" s="67"/>
      <c r="E63" s="66"/>
      <c r="F63" s="66"/>
      <c r="G63" s="66"/>
      <c r="H63" s="66"/>
      <c r="I63" s="66"/>
      <c r="J63" s="66"/>
      <c r="K63" s="66"/>
      <c r="L63" s="67"/>
      <c r="M63" s="29"/>
      <c r="N63" s="6"/>
    </row>
    <row r="64" spans="1:14" ht="15.75">
      <c r="A64" s="28"/>
      <c r="B64" s="29" t="s">
        <v>41</v>
      </c>
      <c r="C64" s="66">
        <v>26410</v>
      </c>
      <c r="D64" s="67">
        <v>67579</v>
      </c>
      <c r="E64" s="66"/>
      <c r="F64" s="66">
        <f>8835+189</f>
        <v>9024</v>
      </c>
      <c r="G64" s="66"/>
      <c r="H64" s="66">
        <f>8234+6007</f>
        <v>14241</v>
      </c>
      <c r="I64" s="66"/>
      <c r="J64" s="66">
        <v>0</v>
      </c>
      <c r="K64" s="66"/>
      <c r="L64" s="67">
        <f>D64-F64+H64-J64</f>
        <v>72796</v>
      </c>
      <c r="M64" s="29"/>
      <c r="N64" s="6"/>
    </row>
    <row r="65" spans="1:14" ht="15.75">
      <c r="A65" s="28"/>
      <c r="B65" s="29" t="s">
        <v>38</v>
      </c>
      <c r="C65" s="66">
        <v>229</v>
      </c>
      <c r="D65" s="67"/>
      <c r="E65" s="66"/>
      <c r="F65" s="66"/>
      <c r="G65" s="66"/>
      <c r="H65" s="66">
        <v>0</v>
      </c>
      <c r="I65" s="66"/>
      <c r="J65" s="66">
        <v>0</v>
      </c>
      <c r="K65" s="66"/>
      <c r="L65" s="67"/>
      <c r="M65" s="29"/>
      <c r="N65" s="6"/>
    </row>
    <row r="66" spans="1:14" ht="15.75">
      <c r="A66" s="28"/>
      <c r="B66" s="66"/>
      <c r="C66" s="66"/>
      <c r="D66" s="67"/>
      <c r="E66" s="66"/>
      <c r="F66" s="66"/>
      <c r="G66" s="66"/>
      <c r="H66" s="66"/>
      <c r="I66" s="66"/>
      <c r="J66" s="66"/>
      <c r="K66" s="66"/>
      <c r="L66" s="67"/>
      <c r="M66" s="29"/>
      <c r="N66" s="6"/>
    </row>
    <row r="67" spans="1:14" ht="15.75">
      <c r="A67" s="28"/>
      <c r="B67" s="29" t="s">
        <v>42</v>
      </c>
      <c r="C67" s="66">
        <f>SUM(C55:C65)</f>
        <v>204425</v>
      </c>
      <c r="D67" s="66">
        <f>SUM(D55:D64)</f>
        <v>225953</v>
      </c>
      <c r="E67" s="66"/>
      <c r="F67" s="66">
        <f>SUM(F55:F65)</f>
        <v>35471</v>
      </c>
      <c r="G67" s="66"/>
      <c r="H67" s="66">
        <f>SUM(H55:H65)</f>
        <v>73691</v>
      </c>
      <c r="I67" s="66"/>
      <c r="J67" s="66">
        <f>SUM(J62:J66)</f>
        <v>0</v>
      </c>
      <c r="K67" s="66"/>
      <c r="L67" s="66">
        <f>SUM(L55:L66)</f>
        <v>264173</v>
      </c>
      <c r="M67" s="29"/>
      <c r="N67" s="6"/>
    </row>
    <row r="68" spans="1:14" ht="15.75">
      <c r="A68" s="28"/>
      <c r="B68" s="29"/>
      <c r="C68" s="66"/>
      <c r="D68" s="68"/>
      <c r="E68" s="66"/>
      <c r="F68" s="66"/>
      <c r="G68" s="66"/>
      <c r="H68" s="66"/>
      <c r="I68" s="66"/>
      <c r="J68" s="66"/>
      <c r="K68" s="66"/>
      <c r="L68" s="68"/>
      <c r="M68" s="29"/>
      <c r="N68" s="6"/>
    </row>
    <row r="69" spans="1:14" ht="15.75">
      <c r="A69" s="28"/>
      <c r="B69" s="29" t="s">
        <v>43</v>
      </c>
      <c r="C69" s="66">
        <f>-1789-10434</f>
        <v>-12223</v>
      </c>
      <c r="D69" s="66">
        <v>-24522</v>
      </c>
      <c r="E69" s="66"/>
      <c r="F69" s="66">
        <f>22+9+5+728+193</f>
        <v>957</v>
      </c>
      <c r="G69" s="66"/>
      <c r="H69" s="66"/>
      <c r="I69" s="66"/>
      <c r="J69" s="66"/>
      <c r="K69" s="66"/>
      <c r="L69" s="66">
        <f>D69-F69</f>
        <v>-25479</v>
      </c>
      <c r="M69" s="29"/>
      <c r="N69" s="6"/>
    </row>
    <row r="70" spans="1:15" ht="15.75">
      <c r="A70" s="28"/>
      <c r="B70" s="29" t="s">
        <v>44</v>
      </c>
      <c r="C70" s="66">
        <v>58798</v>
      </c>
      <c r="D70" s="68">
        <v>49569</v>
      </c>
      <c r="E70" s="66"/>
      <c r="F70" s="66">
        <f>SUM(F67:F69)</f>
        <v>36428</v>
      </c>
      <c r="G70" s="66"/>
      <c r="H70" s="66">
        <f>-H67</f>
        <v>-73691</v>
      </c>
      <c r="I70" s="66"/>
      <c r="J70" s="66"/>
      <c r="K70" s="66"/>
      <c r="L70" s="68">
        <f>D70+F70+H70+D73</f>
        <v>12306</v>
      </c>
      <c r="M70" s="29"/>
      <c r="N70" s="6"/>
      <c r="O70" s="72"/>
    </row>
    <row r="71" spans="1:14" ht="15.75">
      <c r="A71" s="28"/>
      <c r="B71" s="29" t="s">
        <v>45</v>
      </c>
      <c r="C71" s="66">
        <v>0</v>
      </c>
      <c r="D71" s="68">
        <v>0</v>
      </c>
      <c r="E71" s="66"/>
      <c r="F71" s="66"/>
      <c r="G71" s="66"/>
      <c r="H71" s="66">
        <v>0</v>
      </c>
      <c r="I71" s="66"/>
      <c r="J71" s="66"/>
      <c r="K71" s="66"/>
      <c r="L71" s="68">
        <f>H71+D71</f>
        <v>0</v>
      </c>
      <c r="M71" s="29"/>
      <c r="N71" s="6"/>
    </row>
    <row r="72" spans="1:14" ht="15.75">
      <c r="A72" s="28"/>
      <c r="B72" s="29" t="s">
        <v>46</v>
      </c>
      <c r="C72" s="66">
        <v>0</v>
      </c>
      <c r="D72" s="68">
        <v>0</v>
      </c>
      <c r="E72" s="66"/>
      <c r="F72" s="66">
        <v>0</v>
      </c>
      <c r="G72" s="66"/>
      <c r="H72" s="66"/>
      <c r="I72" s="66"/>
      <c r="J72" s="66"/>
      <c r="K72" s="66"/>
      <c r="L72" s="68">
        <f>D72+F72+H72</f>
        <v>0</v>
      </c>
      <c r="M72" s="29"/>
      <c r="N72" s="6"/>
    </row>
    <row r="73" spans="1:14" ht="15.75">
      <c r="A73" s="28"/>
      <c r="B73" s="29" t="s">
        <v>47</v>
      </c>
      <c r="C73" s="66">
        <v>0</v>
      </c>
      <c r="D73" s="68">
        <v>0</v>
      </c>
      <c r="E73" s="66"/>
      <c r="F73" s="66"/>
      <c r="G73" s="66"/>
      <c r="H73" s="71"/>
      <c r="I73" s="66"/>
      <c r="J73" s="66"/>
      <c r="K73" s="66"/>
      <c r="L73" s="68">
        <v>0</v>
      </c>
      <c r="M73" s="29"/>
      <c r="N73" s="6"/>
    </row>
    <row r="74" spans="1:14" ht="15.75">
      <c r="A74" s="28"/>
      <c r="B74" s="29" t="s">
        <v>19</v>
      </c>
      <c r="C74" s="68">
        <f>SUM(C67:C73)</f>
        <v>251000</v>
      </c>
      <c r="D74" s="68">
        <f>SUM(D67:D73)</f>
        <v>251000</v>
      </c>
      <c r="E74" s="66"/>
      <c r="F74" s="66">
        <f>F70-F73-F72</f>
        <v>36428</v>
      </c>
      <c r="G74" s="66"/>
      <c r="H74" s="66"/>
      <c r="I74" s="66"/>
      <c r="J74" s="66"/>
      <c r="K74" s="66"/>
      <c r="L74" s="68">
        <f>SUM(L67:L73)</f>
        <v>251000</v>
      </c>
      <c r="M74" s="29"/>
      <c r="N74" s="6"/>
    </row>
    <row r="75" spans="1:14" ht="15.75">
      <c r="A75" s="28"/>
      <c r="B75" s="66"/>
      <c r="C75" s="29"/>
      <c r="D75" s="29"/>
      <c r="E75" s="29"/>
      <c r="F75" s="29"/>
      <c r="G75" s="29"/>
      <c r="H75" s="29"/>
      <c r="I75" s="29"/>
      <c r="J75" s="36"/>
      <c r="K75" s="29"/>
      <c r="L75" s="36"/>
      <c r="M75" s="29"/>
      <c r="N75" s="6"/>
    </row>
    <row r="76" spans="1:14" ht="15.75">
      <c r="A76" s="7"/>
      <c r="B76" s="63" t="s">
        <v>48</v>
      </c>
      <c r="C76" s="16"/>
      <c r="D76" s="16"/>
      <c r="E76" s="16"/>
      <c r="F76" s="16"/>
      <c r="G76" s="16"/>
      <c r="H76" s="16"/>
      <c r="I76" s="19"/>
      <c r="J76" s="19"/>
      <c r="K76" s="19"/>
      <c r="L76" s="19" t="s">
        <v>190</v>
      </c>
      <c r="M76" s="16"/>
      <c r="N76" s="6"/>
    </row>
    <row r="77" spans="1:14" ht="15.75">
      <c r="A77" s="28"/>
      <c r="B77" s="29" t="s">
        <v>49</v>
      </c>
      <c r="C77" s="29"/>
      <c r="D77" s="29"/>
      <c r="E77" s="29"/>
      <c r="F77" s="29"/>
      <c r="G77" s="29"/>
      <c r="H77" s="29"/>
      <c r="I77" s="29"/>
      <c r="J77" s="66"/>
      <c r="K77" s="29"/>
      <c r="L77" s="67">
        <f>27697+32+6</f>
        <v>27735</v>
      </c>
      <c r="M77" s="29"/>
      <c r="N77" s="6"/>
    </row>
    <row r="78" spans="1:14" ht="15.75">
      <c r="A78" s="28"/>
      <c r="B78" s="29" t="s">
        <v>50</v>
      </c>
      <c r="C78" s="53"/>
      <c r="D78" s="57"/>
      <c r="E78" s="29"/>
      <c r="F78" s="29"/>
      <c r="G78" s="29"/>
      <c r="H78" s="29"/>
      <c r="I78" s="29"/>
      <c r="J78" s="66"/>
      <c r="K78" s="29"/>
      <c r="L78" s="67">
        <f>1657+115+406</f>
        <v>2178</v>
      </c>
      <c r="M78" s="29"/>
      <c r="N78" s="6"/>
    </row>
    <row r="79" spans="1:14" ht="15.75">
      <c r="A79" s="28"/>
      <c r="B79" s="29" t="s">
        <v>51</v>
      </c>
      <c r="C79" s="53"/>
      <c r="D79" s="57"/>
      <c r="E79" s="29"/>
      <c r="F79" s="29"/>
      <c r="G79" s="29"/>
      <c r="H79" s="29"/>
      <c r="I79" s="29"/>
      <c r="J79" s="66"/>
      <c r="K79" s="29"/>
      <c r="L79" s="67">
        <v>-10793</v>
      </c>
      <c r="M79" s="29"/>
      <c r="N79" s="6"/>
    </row>
    <row r="80" spans="1:14" ht="15.75">
      <c r="A80" s="28"/>
      <c r="B80" s="29" t="s">
        <v>192</v>
      </c>
      <c r="C80" s="53"/>
      <c r="D80" s="57"/>
      <c r="E80" s="29"/>
      <c r="F80" s="29"/>
      <c r="G80" s="29"/>
      <c r="H80" s="29"/>
      <c r="I80" s="29"/>
      <c r="J80" s="66"/>
      <c r="K80" s="29"/>
      <c r="L80" s="67">
        <v>-10</v>
      </c>
      <c r="M80" s="29"/>
      <c r="N80" s="6"/>
    </row>
    <row r="81" spans="1:14" ht="15.75">
      <c r="A81" s="28"/>
      <c r="B81" s="29" t="s">
        <v>52</v>
      </c>
      <c r="C81" s="29"/>
      <c r="D81" s="29"/>
      <c r="E81" s="29"/>
      <c r="F81" s="29"/>
      <c r="G81" s="29"/>
      <c r="H81" s="29"/>
      <c r="I81" s="29"/>
      <c r="J81" s="66"/>
      <c r="K81" s="29"/>
      <c r="L81" s="67">
        <v>0</v>
      </c>
      <c r="M81" s="29"/>
      <c r="N81" s="6"/>
    </row>
    <row r="82" spans="1:14" ht="15.75">
      <c r="A82" s="28"/>
      <c r="B82" s="29" t="s">
        <v>53</v>
      </c>
      <c r="C82" s="29"/>
      <c r="D82" s="29"/>
      <c r="E82" s="29"/>
      <c r="F82" s="29"/>
      <c r="G82" s="29"/>
      <c r="H82" s="29"/>
      <c r="I82" s="29"/>
      <c r="J82" s="66"/>
      <c r="K82" s="29"/>
      <c r="L82" s="67">
        <f>SUM(L77:L81)</f>
        <v>19110</v>
      </c>
      <c r="M82" s="29"/>
      <c r="N82" s="6"/>
    </row>
    <row r="83" spans="1:14" ht="15.75">
      <c r="A83" s="28"/>
      <c r="B83" s="29"/>
      <c r="C83" s="29"/>
      <c r="D83" s="29"/>
      <c r="E83" s="29"/>
      <c r="F83" s="29"/>
      <c r="G83" s="29"/>
      <c r="H83" s="29"/>
      <c r="I83" s="29"/>
      <c r="J83" s="66"/>
      <c r="K83" s="29"/>
      <c r="L83" s="68"/>
      <c r="M83" s="29"/>
      <c r="N83" s="6"/>
    </row>
    <row r="84" spans="1:14" ht="15.75">
      <c r="A84" s="28"/>
      <c r="B84" s="164" t="s">
        <v>54</v>
      </c>
      <c r="C84" s="73"/>
      <c r="D84" s="29"/>
      <c r="E84" s="29"/>
      <c r="F84" s="29"/>
      <c r="G84" s="29"/>
      <c r="H84" s="29"/>
      <c r="I84" s="29"/>
      <c r="J84" s="66"/>
      <c r="K84" s="29"/>
      <c r="L84" s="67"/>
      <c r="M84" s="29"/>
      <c r="N84" s="6"/>
    </row>
    <row r="85" spans="1:14" ht="15.75">
      <c r="A85" s="28">
        <v>1</v>
      </c>
      <c r="B85" s="29" t="s">
        <v>55</v>
      </c>
      <c r="C85" s="29"/>
      <c r="D85" s="29"/>
      <c r="E85" s="29"/>
      <c r="F85" s="29"/>
      <c r="G85" s="29"/>
      <c r="H85" s="29"/>
      <c r="I85" s="29"/>
      <c r="J85" s="29"/>
      <c r="K85" s="29"/>
      <c r="L85" s="67">
        <v>-4</v>
      </c>
      <c r="M85" s="29"/>
      <c r="N85" s="6"/>
    </row>
    <row r="86" spans="1:14" ht="15.75">
      <c r="A86" s="28">
        <f aca="true" t="shared" si="0" ref="A86:A94">A85+1</f>
        <v>2</v>
      </c>
      <c r="B86" s="29" t="s">
        <v>56</v>
      </c>
      <c r="C86" s="29"/>
      <c r="D86" s="29"/>
      <c r="E86" s="29"/>
      <c r="F86" s="29"/>
      <c r="G86" s="29"/>
      <c r="H86" s="29"/>
      <c r="I86" s="29"/>
      <c r="J86" s="29"/>
      <c r="K86" s="29"/>
      <c r="L86" s="67">
        <f>-456-72</f>
        <v>-528</v>
      </c>
      <c r="M86" s="29"/>
      <c r="N86" s="6"/>
    </row>
    <row r="87" spans="1:14" ht="15.75">
      <c r="A87" s="28">
        <f t="shared" si="0"/>
        <v>3</v>
      </c>
      <c r="B87" s="29" t="s">
        <v>57</v>
      </c>
      <c r="C87" s="29"/>
      <c r="D87" s="29"/>
      <c r="E87" s="29"/>
      <c r="F87" s="29"/>
      <c r="G87" s="29"/>
      <c r="H87" s="29"/>
      <c r="I87" s="29"/>
      <c r="J87" s="29"/>
      <c r="K87" s="29"/>
      <c r="L87" s="67">
        <v>-382</v>
      </c>
      <c r="M87" s="29"/>
      <c r="N87" s="6"/>
    </row>
    <row r="88" spans="1:14" ht="15.75">
      <c r="A88" s="28">
        <f t="shared" si="0"/>
        <v>4</v>
      </c>
      <c r="B88" s="29" t="s">
        <v>58</v>
      </c>
      <c r="C88" s="29"/>
      <c r="D88" s="29"/>
      <c r="E88" s="29"/>
      <c r="F88" s="29"/>
      <c r="G88" s="29"/>
      <c r="H88" s="29"/>
      <c r="I88" s="29"/>
      <c r="J88" s="29"/>
      <c r="K88" s="29"/>
      <c r="L88" s="67">
        <v>-1910</v>
      </c>
      <c r="M88" s="29"/>
      <c r="N88" s="6"/>
    </row>
    <row r="89" spans="1:14" ht="15.75">
      <c r="A89" s="28">
        <f t="shared" si="0"/>
        <v>5</v>
      </c>
      <c r="B89" s="29" t="s">
        <v>59</v>
      </c>
      <c r="C89" s="29"/>
      <c r="D89" s="29"/>
      <c r="E89" s="29"/>
      <c r="F89" s="29"/>
      <c r="G89" s="29"/>
      <c r="H89" s="29"/>
      <c r="I89" s="29"/>
      <c r="J89" s="29"/>
      <c r="K89" s="29"/>
      <c r="L89" s="67">
        <v>-5</v>
      </c>
      <c r="M89" s="29"/>
      <c r="N89" s="6"/>
    </row>
    <row r="90" spans="1:14" ht="15.75">
      <c r="A90" s="28">
        <f t="shared" si="0"/>
        <v>6</v>
      </c>
      <c r="B90" s="29" t="s">
        <v>60</v>
      </c>
      <c r="C90" s="29"/>
      <c r="D90" s="29"/>
      <c r="E90" s="29"/>
      <c r="F90" s="29"/>
      <c r="G90" s="29"/>
      <c r="H90" s="29"/>
      <c r="I90" s="29"/>
      <c r="J90" s="29"/>
      <c r="K90" s="29"/>
      <c r="L90" s="67">
        <v>-623</v>
      </c>
      <c r="M90" s="29"/>
      <c r="N90" s="6"/>
    </row>
    <row r="91" spans="1:14" ht="15.75">
      <c r="A91" s="28">
        <f t="shared" si="0"/>
        <v>7</v>
      </c>
      <c r="B91" s="29" t="s">
        <v>61</v>
      </c>
      <c r="C91" s="29"/>
      <c r="D91" s="29"/>
      <c r="E91" s="29"/>
      <c r="F91" s="29"/>
      <c r="G91" s="29"/>
      <c r="H91" s="29"/>
      <c r="I91" s="29"/>
      <c r="J91" s="29"/>
      <c r="K91" s="29"/>
      <c r="L91" s="67">
        <v>-333</v>
      </c>
      <c r="M91" s="29"/>
      <c r="N91" s="6"/>
    </row>
    <row r="92" spans="1:14" ht="15.75">
      <c r="A92" s="28">
        <f t="shared" si="0"/>
        <v>8</v>
      </c>
      <c r="B92" s="29" t="s">
        <v>62</v>
      </c>
      <c r="C92" s="29"/>
      <c r="D92" s="29"/>
      <c r="E92" s="29"/>
      <c r="F92" s="29"/>
      <c r="G92" s="29"/>
      <c r="H92" s="29"/>
      <c r="I92" s="29"/>
      <c r="J92" s="29"/>
      <c r="K92" s="29"/>
      <c r="L92" s="67">
        <v>0</v>
      </c>
      <c r="M92" s="29"/>
      <c r="N92" s="6"/>
    </row>
    <row r="93" spans="1:14" ht="15.75">
      <c r="A93" s="28">
        <f t="shared" si="0"/>
        <v>9</v>
      </c>
      <c r="B93" s="29" t="s">
        <v>44</v>
      </c>
      <c r="C93" s="29"/>
      <c r="D93" s="29"/>
      <c r="E93" s="29"/>
      <c r="F93" s="29"/>
      <c r="G93" s="29"/>
      <c r="H93" s="29"/>
      <c r="I93" s="29"/>
      <c r="J93" s="66"/>
      <c r="K93" s="29"/>
      <c r="L93" s="67">
        <f>L82+SUM(L85:L91)-L94</f>
        <v>12311</v>
      </c>
      <c r="M93" s="29"/>
      <c r="N93" s="6"/>
    </row>
    <row r="94" spans="1:15" ht="15.75">
      <c r="A94" s="28">
        <f t="shared" si="0"/>
        <v>10</v>
      </c>
      <c r="B94" s="29" t="s">
        <v>63</v>
      </c>
      <c r="C94" s="29"/>
      <c r="D94" s="29"/>
      <c r="E94" s="29"/>
      <c r="F94" s="29"/>
      <c r="G94" s="29"/>
      <c r="H94" s="29"/>
      <c r="I94" s="29"/>
      <c r="J94" s="29"/>
      <c r="K94" s="29"/>
      <c r="L94" s="67">
        <f>J195+SUM(L82:L91)+J197-J200</f>
        <v>3014</v>
      </c>
      <c r="M94" s="29"/>
      <c r="N94" s="6"/>
      <c r="O94" s="72"/>
    </row>
    <row r="95" spans="1:14" ht="15.75">
      <c r="A95" s="28"/>
      <c r="B95" s="32"/>
      <c r="C95" s="29"/>
      <c r="D95" s="29"/>
      <c r="E95" s="29"/>
      <c r="F95" s="29"/>
      <c r="G95" s="29"/>
      <c r="H95" s="29"/>
      <c r="I95" s="29"/>
      <c r="J95" s="66"/>
      <c r="K95" s="66"/>
      <c r="L95" s="66"/>
      <c r="M95" s="29"/>
      <c r="N95" s="6"/>
    </row>
    <row r="96" spans="1:14" ht="15.75">
      <c r="A96" s="7"/>
      <c r="B96" s="14"/>
      <c r="C96" s="9"/>
      <c r="D96" s="9"/>
      <c r="E96" s="9"/>
      <c r="F96" s="9"/>
      <c r="G96" s="9"/>
      <c r="H96" s="9"/>
      <c r="I96" s="9"/>
      <c r="J96" s="74"/>
      <c r="K96" s="74"/>
      <c r="L96" s="74"/>
      <c r="M96" s="9"/>
      <c r="N96" s="6"/>
    </row>
    <row r="97" spans="1:14" ht="16.5" thickBot="1">
      <c r="A97" s="144"/>
      <c r="B97" s="145" t="str">
        <f>B50</f>
        <v>PPAF1 INVESTOR REPORT QUARTER ENDING FEBRUARY 2003</v>
      </c>
      <c r="C97" s="146"/>
      <c r="D97" s="146"/>
      <c r="E97" s="146"/>
      <c r="F97" s="146"/>
      <c r="G97" s="146"/>
      <c r="H97" s="146"/>
      <c r="I97" s="146"/>
      <c r="J97" s="149"/>
      <c r="K97" s="149"/>
      <c r="L97" s="149"/>
      <c r="M97" s="148"/>
      <c r="N97" s="6"/>
    </row>
    <row r="98" spans="1:14" ht="15.75">
      <c r="A98" s="2"/>
      <c r="B98" s="5"/>
      <c r="C98" s="5"/>
      <c r="D98" s="5"/>
      <c r="E98" s="5"/>
      <c r="F98" s="5"/>
      <c r="G98" s="5"/>
      <c r="H98" s="5"/>
      <c r="I98" s="5"/>
      <c r="J98" s="75"/>
      <c r="K98" s="75"/>
      <c r="L98" s="75"/>
      <c r="M98" s="5"/>
      <c r="N98" s="6"/>
    </row>
    <row r="99" spans="1:14" ht="15.75">
      <c r="A99" s="76"/>
      <c r="B99" s="77" t="s">
        <v>64</v>
      </c>
      <c r="C99" s="78"/>
      <c r="D99" s="78"/>
      <c r="E99" s="78"/>
      <c r="F99" s="78"/>
      <c r="G99" s="78"/>
      <c r="H99" s="78"/>
      <c r="I99" s="78"/>
      <c r="J99" s="78"/>
      <c r="K99" s="78"/>
      <c r="L99" s="79"/>
      <c r="M99" s="80"/>
      <c r="N99" s="6"/>
    </row>
    <row r="100" spans="1:14" ht="15.75">
      <c r="A100" s="76"/>
      <c r="B100" s="78"/>
      <c r="C100" s="78"/>
      <c r="D100" s="78"/>
      <c r="E100" s="78"/>
      <c r="F100" s="78"/>
      <c r="G100" s="78"/>
      <c r="H100" s="78"/>
      <c r="I100" s="78"/>
      <c r="J100" s="78"/>
      <c r="K100" s="78"/>
      <c r="L100" s="79"/>
      <c r="M100" s="78"/>
      <c r="N100" s="6"/>
    </row>
    <row r="101" spans="1:14" ht="15.75">
      <c r="A101" s="7"/>
      <c r="B101" s="165" t="s">
        <v>65</v>
      </c>
      <c r="C101" s="15"/>
      <c r="D101" s="9"/>
      <c r="E101" s="9"/>
      <c r="F101" s="9"/>
      <c r="G101" s="9"/>
      <c r="H101" s="9"/>
      <c r="I101" s="9"/>
      <c r="J101" s="9"/>
      <c r="K101" s="9"/>
      <c r="L101" s="64"/>
      <c r="M101" s="9"/>
      <c r="N101" s="6"/>
    </row>
    <row r="102" spans="1:14" ht="15.75">
      <c r="A102" s="28"/>
      <c r="B102" s="29" t="s">
        <v>66</v>
      </c>
      <c r="C102" s="29"/>
      <c r="D102" s="29"/>
      <c r="E102" s="29"/>
      <c r="F102" s="29"/>
      <c r="G102" s="29"/>
      <c r="H102" s="29"/>
      <c r="I102" s="29"/>
      <c r="J102" s="29"/>
      <c r="K102" s="29"/>
      <c r="L102" s="67">
        <f>10793+400</f>
        <v>11193</v>
      </c>
      <c r="M102" s="29"/>
      <c r="N102" s="6"/>
    </row>
    <row r="103" spans="1:14" ht="15.75">
      <c r="A103" s="28"/>
      <c r="B103" s="29" t="s">
        <v>67</v>
      </c>
      <c r="C103" s="29"/>
      <c r="D103" s="29"/>
      <c r="E103" s="29"/>
      <c r="F103" s="29"/>
      <c r="G103" s="29"/>
      <c r="H103" s="29"/>
      <c r="I103" s="29"/>
      <c r="J103" s="29"/>
      <c r="K103" s="29"/>
      <c r="L103" s="67">
        <v>10793</v>
      </c>
      <c r="M103" s="29"/>
      <c r="N103" s="6"/>
    </row>
    <row r="104" spans="1:14" ht="15.75">
      <c r="A104" s="28"/>
      <c r="B104" s="29" t="s">
        <v>68</v>
      </c>
      <c r="C104" s="29"/>
      <c r="D104" s="29"/>
      <c r="E104" s="29"/>
      <c r="F104" s="29"/>
      <c r="G104" s="29"/>
      <c r="H104" s="29"/>
      <c r="I104" s="29"/>
      <c r="J104" s="29"/>
      <c r="K104" s="29"/>
      <c r="L104" s="67">
        <v>0</v>
      </c>
      <c r="M104" s="29"/>
      <c r="N104" s="6"/>
    </row>
    <row r="105" spans="1:14" ht="15.75">
      <c r="A105" s="28"/>
      <c r="B105" s="29" t="s">
        <v>69</v>
      </c>
      <c r="C105" s="29"/>
      <c r="D105" s="29"/>
      <c r="E105" s="29"/>
      <c r="F105" s="29"/>
      <c r="G105" s="29"/>
      <c r="H105" s="29"/>
      <c r="I105" s="29"/>
      <c r="J105" s="29"/>
      <c r="K105" s="29"/>
      <c r="L105" s="67">
        <v>0</v>
      </c>
      <c r="M105" s="29"/>
      <c r="N105" s="6"/>
    </row>
    <row r="106" spans="1:14" ht="15.75">
      <c r="A106" s="28"/>
      <c r="B106" s="29" t="s">
        <v>70</v>
      </c>
      <c r="C106" s="29"/>
      <c r="D106" s="29"/>
      <c r="E106" s="29"/>
      <c r="F106" s="29"/>
      <c r="G106" s="29"/>
      <c r="H106" s="29"/>
      <c r="I106" s="29"/>
      <c r="J106" s="29"/>
      <c r="K106" s="29"/>
      <c r="L106" s="67">
        <v>0</v>
      </c>
      <c r="M106" s="29"/>
      <c r="N106" s="6"/>
    </row>
    <row r="107" spans="1:14" ht="15.75">
      <c r="A107" s="28"/>
      <c r="B107" s="29" t="s">
        <v>58</v>
      </c>
      <c r="C107" s="29"/>
      <c r="D107" s="29"/>
      <c r="E107" s="29"/>
      <c r="F107" s="29"/>
      <c r="G107" s="29"/>
      <c r="H107" s="29"/>
      <c r="I107" s="29"/>
      <c r="J107" s="29"/>
      <c r="K107" s="29"/>
      <c r="L107" s="67">
        <v>0</v>
      </c>
      <c r="M107" s="29"/>
      <c r="N107" s="6"/>
    </row>
    <row r="108" spans="1:14" ht="15.75">
      <c r="A108" s="28"/>
      <c r="B108" s="29" t="s">
        <v>60</v>
      </c>
      <c r="C108" s="29"/>
      <c r="D108" s="29"/>
      <c r="E108" s="29"/>
      <c r="F108" s="29"/>
      <c r="G108" s="29"/>
      <c r="H108" s="29"/>
      <c r="I108" s="29"/>
      <c r="J108" s="29"/>
      <c r="K108" s="29"/>
      <c r="L108" s="67">
        <v>0</v>
      </c>
      <c r="M108" s="29"/>
      <c r="N108" s="6"/>
    </row>
    <row r="109" spans="1:14" ht="15.75">
      <c r="A109" s="28"/>
      <c r="B109" s="29" t="s">
        <v>61</v>
      </c>
      <c r="C109" s="29"/>
      <c r="D109" s="29"/>
      <c r="E109" s="29"/>
      <c r="F109" s="29"/>
      <c r="G109" s="29"/>
      <c r="H109" s="29"/>
      <c r="I109" s="29"/>
      <c r="J109" s="29"/>
      <c r="K109" s="29"/>
      <c r="L109" s="67">
        <v>0</v>
      </c>
      <c r="M109" s="29"/>
      <c r="N109" s="6"/>
    </row>
    <row r="110" spans="1:14" ht="15.75">
      <c r="A110" s="28"/>
      <c r="B110" s="29" t="s">
        <v>71</v>
      </c>
      <c r="C110" s="29"/>
      <c r="D110" s="29"/>
      <c r="E110" s="29"/>
      <c r="F110" s="29"/>
      <c r="G110" s="29"/>
      <c r="H110" s="29"/>
      <c r="I110" s="29"/>
      <c r="J110" s="29"/>
      <c r="K110" s="29"/>
      <c r="L110" s="67">
        <f>L103</f>
        <v>10793</v>
      </c>
      <c r="M110" s="29"/>
      <c r="N110" s="6"/>
    </row>
    <row r="111" spans="1:14" ht="15.75">
      <c r="A111" s="28"/>
      <c r="B111" s="29"/>
      <c r="C111" s="29"/>
      <c r="D111" s="29"/>
      <c r="E111" s="29"/>
      <c r="F111" s="29"/>
      <c r="G111" s="29"/>
      <c r="H111" s="29"/>
      <c r="I111" s="29"/>
      <c r="J111" s="29"/>
      <c r="K111" s="29"/>
      <c r="L111" s="81"/>
      <c r="M111" s="29"/>
      <c r="N111" s="6"/>
    </row>
    <row r="112" spans="1:14" ht="15.75">
      <c r="A112" s="7"/>
      <c r="B112" s="165" t="s">
        <v>72</v>
      </c>
      <c r="C112" s="15"/>
      <c r="D112" s="9"/>
      <c r="E112" s="9"/>
      <c r="F112" s="9"/>
      <c r="G112" s="82"/>
      <c r="H112" s="9"/>
      <c r="I112" s="9"/>
      <c r="J112" s="9"/>
      <c r="K112" s="9"/>
      <c r="L112" s="83"/>
      <c r="M112" s="9"/>
      <c r="N112" s="6"/>
    </row>
    <row r="113" spans="1:14" ht="15.75">
      <c r="A113" s="7"/>
      <c r="B113" s="15"/>
      <c r="C113" s="19" t="s">
        <v>140</v>
      </c>
      <c r="D113" s="19" t="s">
        <v>150</v>
      </c>
      <c r="E113" s="19" t="s">
        <v>156</v>
      </c>
      <c r="F113" s="19" t="s">
        <v>165</v>
      </c>
      <c r="G113" s="82"/>
      <c r="H113" s="82"/>
      <c r="I113" s="9"/>
      <c r="J113" s="9"/>
      <c r="K113" s="9"/>
      <c r="L113" s="83"/>
      <c r="M113" s="9"/>
      <c r="N113" s="6"/>
    </row>
    <row r="114" spans="1:14" ht="15.75">
      <c r="A114" s="28"/>
      <c r="B114" s="29" t="s">
        <v>73</v>
      </c>
      <c r="C114" s="66">
        <f>E178-'Nov 02'!E178</f>
        <v>750</v>
      </c>
      <c r="D114" s="66">
        <f>J178-'Nov 02'!J178</f>
        <v>194</v>
      </c>
      <c r="E114" s="66">
        <f>E188-'Nov 02'!E188</f>
        <v>9</v>
      </c>
      <c r="F114" s="66">
        <f>J188-'Nov 02'!J188</f>
        <v>5</v>
      </c>
      <c r="G114" s="84"/>
      <c r="H114" s="84"/>
      <c r="I114" s="29"/>
      <c r="J114" s="29"/>
      <c r="K114" s="29"/>
      <c r="L114" s="67">
        <f>SUM(C114:F114)</f>
        <v>958</v>
      </c>
      <c r="M114" s="29"/>
      <c r="N114" s="6"/>
    </row>
    <row r="115" spans="1:14" ht="15.75">
      <c r="A115" s="28"/>
      <c r="B115" s="29" t="s">
        <v>74</v>
      </c>
      <c r="C115" s="29">
        <v>53</v>
      </c>
      <c r="D115" s="29">
        <v>0</v>
      </c>
      <c r="E115" s="29">
        <v>0</v>
      </c>
      <c r="F115" s="29">
        <v>182</v>
      </c>
      <c r="G115" s="84"/>
      <c r="H115" s="84"/>
      <c r="I115" s="29"/>
      <c r="J115" s="29"/>
      <c r="K115" s="29"/>
      <c r="L115" s="67">
        <f>SUM(C115:F115)</f>
        <v>235</v>
      </c>
      <c r="M115" s="29"/>
      <c r="N115" s="6"/>
    </row>
    <row r="116" spans="1:14" ht="15.75">
      <c r="A116" s="28"/>
      <c r="B116" s="29" t="s">
        <v>75</v>
      </c>
      <c r="C116" s="29"/>
      <c r="D116" s="29"/>
      <c r="E116" s="29"/>
      <c r="F116" s="29"/>
      <c r="G116" s="29"/>
      <c r="H116" s="29"/>
      <c r="I116" s="29"/>
      <c r="J116" s="29"/>
      <c r="K116" s="29"/>
      <c r="L116" s="67">
        <f>SUM(L114:L115)</f>
        <v>1193</v>
      </c>
      <c r="M116" s="29"/>
      <c r="N116" s="6"/>
    </row>
    <row r="117" spans="1:14" ht="15.75">
      <c r="A117" s="28"/>
      <c r="B117" s="29" t="s">
        <v>76</v>
      </c>
      <c r="C117" s="66">
        <v>121</v>
      </c>
      <c r="D117" s="29"/>
      <c r="E117" s="29"/>
      <c r="F117" s="29"/>
      <c r="G117" s="29"/>
      <c r="H117" s="29"/>
      <c r="I117" s="29"/>
      <c r="J117" s="29"/>
      <c r="K117" s="29"/>
      <c r="L117" s="85"/>
      <c r="M117" s="29"/>
      <c r="N117" s="6"/>
    </row>
    <row r="118" spans="1:14" ht="15.75">
      <c r="A118" s="7"/>
      <c r="B118" s="165" t="s">
        <v>77</v>
      </c>
      <c r="C118" s="15"/>
      <c r="D118" s="9"/>
      <c r="E118" s="9"/>
      <c r="F118" s="9"/>
      <c r="G118" s="9"/>
      <c r="H118" s="9"/>
      <c r="I118" s="9"/>
      <c r="J118" s="9"/>
      <c r="K118" s="9"/>
      <c r="L118" s="64"/>
      <c r="M118" s="9"/>
      <c r="N118" s="6"/>
    </row>
    <row r="119" spans="1:14" ht="15.75">
      <c r="A119" s="28"/>
      <c r="B119" s="29" t="s">
        <v>78</v>
      </c>
      <c r="C119" s="86"/>
      <c r="D119" s="29"/>
      <c r="E119" s="29"/>
      <c r="F119" s="29"/>
      <c r="G119" s="29"/>
      <c r="H119" s="29"/>
      <c r="I119" s="29"/>
      <c r="J119" s="29"/>
      <c r="K119" s="29"/>
      <c r="L119" s="67">
        <f>L67</f>
        <v>264173</v>
      </c>
      <c r="M119" s="29"/>
      <c r="N119" s="6"/>
    </row>
    <row r="120" spans="1:14" ht="15.75">
      <c r="A120" s="28"/>
      <c r="B120" s="29" t="s">
        <v>79</v>
      </c>
      <c r="C120" s="86"/>
      <c r="D120" s="29"/>
      <c r="E120" s="29"/>
      <c r="F120" s="29"/>
      <c r="G120" s="29"/>
      <c r="H120" s="29"/>
      <c r="I120" s="29"/>
      <c r="J120" s="29"/>
      <c r="K120" s="29"/>
      <c r="L120" s="67">
        <f>L70</f>
        <v>12306</v>
      </c>
      <c r="M120" s="29"/>
      <c r="N120" s="6"/>
    </row>
    <row r="121" spans="1:15" ht="15.75">
      <c r="A121" s="28"/>
      <c r="B121" s="29" t="s">
        <v>80</v>
      </c>
      <c r="C121" s="86"/>
      <c r="D121" s="29"/>
      <c r="E121" s="29"/>
      <c r="F121" s="29"/>
      <c r="G121" s="29"/>
      <c r="H121" s="29"/>
      <c r="I121" s="29"/>
      <c r="J121" s="29"/>
      <c r="K121" s="29"/>
      <c r="L121" s="67">
        <f>L120+L119+L72+L73</f>
        <v>276479</v>
      </c>
      <c r="M121" s="29"/>
      <c r="N121" s="6"/>
      <c r="O121" s="72"/>
    </row>
    <row r="122" spans="1:15" ht="15.75">
      <c r="A122" s="28"/>
      <c r="B122" s="29" t="s">
        <v>81</v>
      </c>
      <c r="C122" s="86"/>
      <c r="D122" s="29"/>
      <c r="E122" s="29"/>
      <c r="F122" s="29"/>
      <c r="G122" s="29"/>
      <c r="H122" s="29"/>
      <c r="I122" s="29"/>
      <c r="J122" s="29"/>
      <c r="K122" s="29"/>
      <c r="L122" s="67">
        <f>L74</f>
        <v>251000</v>
      </c>
      <c r="M122" s="29"/>
      <c r="N122" s="6"/>
      <c r="O122" s="72"/>
    </row>
    <row r="123" spans="1:14" ht="15.75">
      <c r="A123" s="28"/>
      <c r="B123" s="29"/>
      <c r="C123" s="29"/>
      <c r="D123" s="29"/>
      <c r="E123" s="29"/>
      <c r="F123" s="29"/>
      <c r="G123" s="29"/>
      <c r="H123" s="29"/>
      <c r="I123" s="29"/>
      <c r="J123" s="29"/>
      <c r="K123" s="29"/>
      <c r="L123" s="85"/>
      <c r="M123" s="29"/>
      <c r="N123" s="6"/>
    </row>
    <row r="124" spans="1:14" ht="15.75">
      <c r="A124" s="7"/>
      <c r="B124" s="165" t="s">
        <v>82</v>
      </c>
      <c r="C124" s="158"/>
      <c r="D124" s="158"/>
      <c r="E124" s="158"/>
      <c r="F124" s="158"/>
      <c r="G124" s="158"/>
      <c r="H124" s="159" t="s">
        <v>176</v>
      </c>
      <c r="I124" s="166"/>
      <c r="J124" s="159" t="s">
        <v>179</v>
      </c>
      <c r="K124" s="158"/>
      <c r="L124" s="167" t="s">
        <v>131</v>
      </c>
      <c r="M124" s="9"/>
      <c r="N124" s="6"/>
    </row>
    <row r="125" spans="1:14" ht="15.75">
      <c r="A125" s="28"/>
      <c r="B125" s="29" t="s">
        <v>83</v>
      </c>
      <c r="C125" s="29"/>
      <c r="D125" s="29"/>
      <c r="E125" s="29"/>
      <c r="F125" s="29"/>
      <c r="G125" s="29"/>
      <c r="H125" s="67">
        <v>0</v>
      </c>
      <c r="I125" s="29"/>
      <c r="J125" s="89" t="s">
        <v>180</v>
      </c>
      <c r="K125" s="29"/>
      <c r="L125" s="67">
        <f>H125</f>
        <v>0</v>
      </c>
      <c r="M125" s="29"/>
      <c r="N125" s="6"/>
    </row>
    <row r="126" spans="1:14" ht="15.75">
      <c r="A126" s="28"/>
      <c r="B126" s="29" t="s">
        <v>84</v>
      </c>
      <c r="C126" s="29"/>
      <c r="D126" s="29"/>
      <c r="E126" s="29"/>
      <c r="F126" s="29"/>
      <c r="G126" s="29"/>
      <c r="H126" s="67">
        <v>0</v>
      </c>
      <c r="I126" s="29"/>
      <c r="J126" s="89" t="s">
        <v>180</v>
      </c>
      <c r="K126" s="29"/>
      <c r="L126" s="67">
        <f>H126</f>
        <v>0</v>
      </c>
      <c r="M126" s="29"/>
      <c r="N126" s="6"/>
    </row>
    <row r="127" spans="1:14" ht="15.75">
      <c r="A127" s="28"/>
      <c r="B127" s="29" t="s">
        <v>85</v>
      </c>
      <c r="C127" s="29"/>
      <c r="D127" s="29"/>
      <c r="E127" s="29"/>
      <c r="F127" s="29"/>
      <c r="G127" s="29"/>
      <c r="H127" s="67">
        <v>0</v>
      </c>
      <c r="I127" s="29"/>
      <c r="J127" s="89" t="s">
        <v>180</v>
      </c>
      <c r="K127" s="29"/>
      <c r="L127" s="67">
        <f>H127</f>
        <v>0</v>
      </c>
      <c r="M127" s="29"/>
      <c r="N127" s="6"/>
    </row>
    <row r="128" spans="1:14" ht="15.75">
      <c r="A128" s="28"/>
      <c r="B128" s="29" t="s">
        <v>86</v>
      </c>
      <c r="C128" s="29"/>
      <c r="D128" s="29"/>
      <c r="E128" s="29"/>
      <c r="F128" s="29"/>
      <c r="G128" s="29"/>
      <c r="H128" s="67">
        <f>SUM(H126:H127)</f>
        <v>0</v>
      </c>
      <c r="I128" s="29"/>
      <c r="J128" s="89" t="s">
        <v>180</v>
      </c>
      <c r="K128" s="29"/>
      <c r="L128" s="67">
        <f>H128</f>
        <v>0</v>
      </c>
      <c r="M128" s="29"/>
      <c r="N128" s="6"/>
    </row>
    <row r="129" spans="1:14" ht="15.75">
      <c r="A129" s="28"/>
      <c r="B129" s="29" t="s">
        <v>87</v>
      </c>
      <c r="C129" s="29"/>
      <c r="D129" s="29"/>
      <c r="E129" s="29"/>
      <c r="F129" s="29"/>
      <c r="G129" s="29"/>
      <c r="H129" s="67">
        <f>H125-H128</f>
        <v>0</v>
      </c>
      <c r="I129" s="29"/>
      <c r="J129" s="89" t="s">
        <v>180</v>
      </c>
      <c r="K129" s="29"/>
      <c r="L129" s="67">
        <f>H129</f>
        <v>0</v>
      </c>
      <c r="M129" s="29"/>
      <c r="N129" s="6"/>
    </row>
    <row r="130" spans="1:14" ht="15.75">
      <c r="A130" s="28"/>
      <c r="B130" s="29"/>
      <c r="C130" s="29"/>
      <c r="D130" s="29"/>
      <c r="E130" s="29"/>
      <c r="F130" s="29"/>
      <c r="G130" s="29"/>
      <c r="H130" s="29"/>
      <c r="I130" s="29"/>
      <c r="J130" s="29"/>
      <c r="K130" s="29"/>
      <c r="L130" s="29"/>
      <c r="M130" s="29"/>
      <c r="N130" s="6"/>
    </row>
    <row r="131" spans="1:14" ht="15.75">
      <c r="A131" s="28"/>
      <c r="B131" s="32"/>
      <c r="C131" s="32"/>
      <c r="D131" s="32"/>
      <c r="E131" s="32"/>
      <c r="F131" s="32"/>
      <c r="G131" s="32"/>
      <c r="H131" s="32"/>
      <c r="I131" s="32"/>
      <c r="J131" s="32"/>
      <c r="K131" s="32"/>
      <c r="L131" s="32"/>
      <c r="M131" s="32"/>
      <c r="N131" s="6"/>
    </row>
    <row r="132" spans="1:14" ht="15.75">
      <c r="A132" s="90"/>
      <c r="B132" s="63" t="s">
        <v>88</v>
      </c>
      <c r="C132" s="91"/>
      <c r="D132" s="91"/>
      <c r="E132" s="91"/>
      <c r="F132" s="91"/>
      <c r="G132" s="21"/>
      <c r="H132" s="21"/>
      <c r="I132" s="21"/>
      <c r="J132" s="21">
        <v>37680</v>
      </c>
      <c r="K132" s="17"/>
      <c r="L132" s="17"/>
      <c r="M132" s="9"/>
      <c r="N132" s="6"/>
    </row>
    <row r="133" spans="1:14" ht="15.75">
      <c r="A133" s="92"/>
      <c r="B133" s="93" t="s">
        <v>89</v>
      </c>
      <c r="C133" s="94"/>
      <c r="D133" s="94"/>
      <c r="E133" s="94"/>
      <c r="F133" s="94"/>
      <c r="G133" s="95"/>
      <c r="H133" s="95"/>
      <c r="I133" s="95"/>
      <c r="J133" s="96">
        <v>0.1226</v>
      </c>
      <c r="K133" s="29"/>
      <c r="L133" s="29"/>
      <c r="M133" s="29"/>
      <c r="N133" s="6"/>
    </row>
    <row r="134" spans="1:14" ht="15.75">
      <c r="A134" s="92"/>
      <c r="B134" s="93" t="s">
        <v>90</v>
      </c>
      <c r="C134" s="94"/>
      <c r="D134" s="94"/>
      <c r="E134" s="94"/>
      <c r="F134" s="94"/>
      <c r="G134" s="95"/>
      <c r="H134" s="95"/>
      <c r="I134" s="95"/>
      <c r="J134" s="96">
        <v>0.0582</v>
      </c>
      <c r="K134" s="96"/>
      <c r="L134" s="29"/>
      <c r="M134" s="29"/>
      <c r="N134" s="6"/>
    </row>
    <row r="135" spans="1:14" ht="15.75">
      <c r="A135" s="92"/>
      <c r="B135" s="93" t="s">
        <v>91</v>
      </c>
      <c r="C135" s="94"/>
      <c r="D135" s="94"/>
      <c r="E135" s="94"/>
      <c r="F135" s="94"/>
      <c r="G135" s="95"/>
      <c r="H135" s="95"/>
      <c r="I135" s="95"/>
      <c r="J135" s="96">
        <f>J133-J134</f>
        <v>0.0644</v>
      </c>
      <c r="K135" s="29"/>
      <c r="L135" s="29"/>
      <c r="M135" s="29"/>
      <c r="N135" s="6"/>
    </row>
    <row r="136" spans="1:14" ht="15.75">
      <c r="A136" s="92"/>
      <c r="B136" s="93" t="s">
        <v>92</v>
      </c>
      <c r="C136" s="94"/>
      <c r="D136" s="94"/>
      <c r="E136" s="94"/>
      <c r="F136" s="94"/>
      <c r="G136" s="95"/>
      <c r="H136" s="95"/>
      <c r="I136" s="95"/>
      <c r="J136" s="96">
        <v>0.1196</v>
      </c>
      <c r="K136" s="29"/>
      <c r="L136" s="29"/>
      <c r="M136" s="29"/>
      <c r="N136" s="6"/>
    </row>
    <row r="137" spans="1:14" ht="15.75">
      <c r="A137" s="92"/>
      <c r="B137" s="93" t="s">
        <v>93</v>
      </c>
      <c r="C137" s="94"/>
      <c r="D137" s="94"/>
      <c r="E137" s="94"/>
      <c r="F137" s="94"/>
      <c r="G137" s="95"/>
      <c r="H137" s="95"/>
      <c r="I137" s="95"/>
      <c r="J137" s="96">
        <f>L32</f>
        <v>0.045808778884462144</v>
      </c>
      <c r="K137" s="29"/>
      <c r="L137" s="29"/>
      <c r="M137" s="29"/>
      <c r="N137" s="6"/>
    </row>
    <row r="138" spans="1:14" ht="15.75">
      <c r="A138" s="92"/>
      <c r="B138" s="93" t="s">
        <v>94</v>
      </c>
      <c r="C138" s="94"/>
      <c r="D138" s="94"/>
      <c r="E138" s="94"/>
      <c r="F138" s="94"/>
      <c r="G138" s="95"/>
      <c r="H138" s="95"/>
      <c r="I138" s="95"/>
      <c r="J138" s="96">
        <f>J136-J137</f>
        <v>0.07379122111553785</v>
      </c>
      <c r="K138" s="29"/>
      <c r="L138" s="29"/>
      <c r="M138" s="29"/>
      <c r="N138" s="6"/>
    </row>
    <row r="139" spans="1:14" ht="15.75">
      <c r="A139" s="92"/>
      <c r="B139" s="93" t="s">
        <v>95</v>
      </c>
      <c r="C139" s="94"/>
      <c r="D139" s="94"/>
      <c r="E139" s="94"/>
      <c r="F139" s="94"/>
      <c r="G139" s="95"/>
      <c r="H139" s="95"/>
      <c r="I139" s="95"/>
      <c r="J139" s="96" t="s">
        <v>181</v>
      </c>
      <c r="K139" s="29"/>
      <c r="L139" s="29"/>
      <c r="M139" s="29"/>
      <c r="N139" s="6"/>
    </row>
    <row r="140" spans="1:14" ht="15.75">
      <c r="A140" s="92"/>
      <c r="B140" s="93" t="s">
        <v>96</v>
      </c>
      <c r="C140" s="94"/>
      <c r="D140" s="94"/>
      <c r="E140" s="94"/>
      <c r="F140" s="94"/>
      <c r="G140" s="95"/>
      <c r="H140" s="95"/>
      <c r="I140" s="95"/>
      <c r="J140" s="96" t="s">
        <v>182</v>
      </c>
      <c r="K140" s="29"/>
      <c r="L140" s="29"/>
      <c r="M140" s="29"/>
      <c r="N140" s="6"/>
    </row>
    <row r="141" spans="1:14" ht="15.75">
      <c r="A141" s="92"/>
      <c r="B141" s="93" t="s">
        <v>97</v>
      </c>
      <c r="C141" s="94"/>
      <c r="D141" s="94"/>
      <c r="E141" s="94"/>
      <c r="F141" s="94"/>
      <c r="G141" s="95"/>
      <c r="H141" s="95"/>
      <c r="I141" s="95"/>
      <c r="J141" s="96" t="s">
        <v>183</v>
      </c>
      <c r="K141" s="29"/>
      <c r="L141" s="29"/>
      <c r="M141" s="29"/>
      <c r="N141" s="6"/>
    </row>
    <row r="142" spans="1:14" ht="15.75">
      <c r="A142" s="92"/>
      <c r="B142" s="93" t="s">
        <v>98</v>
      </c>
      <c r="C142" s="94"/>
      <c r="D142" s="94"/>
      <c r="E142" s="94"/>
      <c r="F142" s="94"/>
      <c r="G142" s="95"/>
      <c r="H142" s="95"/>
      <c r="I142" s="95"/>
      <c r="J142" s="97">
        <v>4.08</v>
      </c>
      <c r="K142" s="29"/>
      <c r="L142" s="29"/>
      <c r="M142" s="29"/>
      <c r="N142" s="6"/>
    </row>
    <row r="143" spans="1:14" ht="15.75">
      <c r="A143" s="92"/>
      <c r="B143" s="93" t="s">
        <v>99</v>
      </c>
      <c r="C143" s="94"/>
      <c r="D143" s="94"/>
      <c r="E143" s="94"/>
      <c r="F143" s="94"/>
      <c r="G143" s="95"/>
      <c r="H143" s="95"/>
      <c r="I143" s="95"/>
      <c r="J143" s="97">
        <v>6.3</v>
      </c>
      <c r="K143" s="29"/>
      <c r="L143" s="29"/>
      <c r="M143" s="29"/>
      <c r="N143" s="6"/>
    </row>
    <row r="144" spans="1:14" ht="15.75">
      <c r="A144" s="92"/>
      <c r="B144" s="93" t="s">
        <v>100</v>
      </c>
      <c r="C144" s="94"/>
      <c r="D144" s="94"/>
      <c r="E144" s="94"/>
      <c r="F144" s="94"/>
      <c r="G144" s="95"/>
      <c r="H144" s="95"/>
      <c r="I144" s="95"/>
      <c r="J144" s="96">
        <v>0.1267</v>
      </c>
      <c r="K144" s="29"/>
      <c r="L144" s="29"/>
      <c r="M144" s="29"/>
      <c r="N144" s="6"/>
    </row>
    <row r="145" spans="1:14" ht="15.75">
      <c r="A145" s="92"/>
      <c r="B145" s="93" t="s">
        <v>101</v>
      </c>
      <c r="C145" s="94"/>
      <c r="D145" s="94"/>
      <c r="E145" s="94"/>
      <c r="F145" s="94"/>
      <c r="G145" s="95"/>
      <c r="H145" s="95"/>
      <c r="I145" s="95"/>
      <c r="J145" s="96">
        <v>0.4484</v>
      </c>
      <c r="K145" s="29"/>
      <c r="L145" s="29"/>
      <c r="M145" s="29"/>
      <c r="N145" s="6"/>
    </row>
    <row r="146" spans="1:14" ht="15.75">
      <c r="A146" s="92"/>
      <c r="B146" s="93"/>
      <c r="C146" s="93"/>
      <c r="D146" s="93"/>
      <c r="E146" s="93"/>
      <c r="F146" s="93"/>
      <c r="G146" s="29"/>
      <c r="H146" s="29"/>
      <c r="I146" s="36"/>
      <c r="J146" s="98"/>
      <c r="K146" s="29"/>
      <c r="L146" s="99"/>
      <c r="M146" s="29"/>
      <c r="N146" s="6"/>
    </row>
    <row r="147" spans="1:14" ht="15.75">
      <c r="A147" s="90"/>
      <c r="B147" s="100"/>
      <c r="C147" s="100"/>
      <c r="D147" s="100"/>
      <c r="E147" s="100"/>
      <c r="F147" s="100"/>
      <c r="G147" s="9"/>
      <c r="H147" s="9"/>
      <c r="I147" s="22"/>
      <c r="J147" s="101"/>
      <c r="K147" s="9"/>
      <c r="L147" s="102"/>
      <c r="M147" s="9"/>
      <c r="N147" s="6"/>
    </row>
    <row r="148" spans="1:14" ht="16.5" thickBot="1">
      <c r="A148" s="150"/>
      <c r="B148" s="145" t="str">
        <f>B97</f>
        <v>PPAF1 INVESTOR REPORT QUARTER ENDING FEBRUARY 2003</v>
      </c>
      <c r="C148" s="151"/>
      <c r="D148" s="151"/>
      <c r="E148" s="151"/>
      <c r="F148" s="151"/>
      <c r="G148" s="146"/>
      <c r="H148" s="146"/>
      <c r="I148" s="152"/>
      <c r="J148" s="153"/>
      <c r="K148" s="146"/>
      <c r="L148" s="154"/>
      <c r="M148" s="148"/>
      <c r="N148" s="6"/>
    </row>
    <row r="149" spans="1:14" ht="15.75">
      <c r="A149" s="103"/>
      <c r="B149" s="104"/>
      <c r="C149" s="105"/>
      <c r="D149" s="106"/>
      <c r="E149" s="105"/>
      <c r="F149" s="106"/>
      <c r="G149" s="105"/>
      <c r="H149" s="106"/>
      <c r="I149" s="105"/>
      <c r="J149" s="106"/>
      <c r="K149" s="107"/>
      <c r="L149" s="107"/>
      <c r="M149" s="5"/>
      <c r="N149" s="6"/>
    </row>
    <row r="150" spans="1:14" ht="15.75">
      <c r="A150" s="108"/>
      <c r="B150" s="93" t="s">
        <v>103</v>
      </c>
      <c r="C150" s="68"/>
      <c r="D150" s="68"/>
      <c r="E150" s="68"/>
      <c r="F150" s="29"/>
      <c r="G150" s="29"/>
      <c r="H150" s="29"/>
      <c r="I150" s="29">
        <v>568</v>
      </c>
      <c r="J150" s="67">
        <v>3725</v>
      </c>
      <c r="K150" s="67"/>
      <c r="L150" s="99"/>
      <c r="M150" s="109"/>
      <c r="N150" s="6"/>
    </row>
    <row r="151" spans="1:14" ht="15.75">
      <c r="A151" s="108"/>
      <c r="B151" s="93" t="s">
        <v>104</v>
      </c>
      <c r="C151" s="68"/>
      <c r="D151" s="68"/>
      <c r="E151" s="68"/>
      <c r="F151" s="29"/>
      <c r="G151" s="29"/>
      <c r="H151" s="29"/>
      <c r="I151" s="29">
        <v>2</v>
      </c>
      <c r="J151" s="67">
        <v>13</v>
      </c>
      <c r="K151" s="67"/>
      <c r="L151" s="99"/>
      <c r="M151" s="109"/>
      <c r="N151" s="6"/>
    </row>
    <row r="152" spans="1:14" ht="15.75">
      <c r="A152" s="108"/>
      <c r="B152" s="168" t="s">
        <v>105</v>
      </c>
      <c r="C152" s="68"/>
      <c r="D152" s="68"/>
      <c r="E152" s="68"/>
      <c r="F152" s="29"/>
      <c r="G152" s="29"/>
      <c r="H152" s="29"/>
      <c r="I152" s="29"/>
      <c r="J152" s="110">
        <v>0</v>
      </c>
      <c r="K152" s="29"/>
      <c r="L152" s="99"/>
      <c r="M152" s="109"/>
      <c r="N152" s="6"/>
    </row>
    <row r="153" spans="1:14" ht="15.75">
      <c r="A153" s="108"/>
      <c r="B153" s="168" t="s">
        <v>106</v>
      </c>
      <c r="C153" s="68"/>
      <c r="D153" s="68"/>
      <c r="E153" s="68"/>
      <c r="F153" s="29"/>
      <c r="G153" s="29"/>
      <c r="H153" s="29"/>
      <c r="I153" s="29"/>
      <c r="J153" s="67">
        <f>H67</f>
        <v>73691</v>
      </c>
      <c r="K153" s="29"/>
      <c r="L153" s="99"/>
      <c r="M153" s="109"/>
      <c r="N153" s="6"/>
    </row>
    <row r="154" spans="1:14" ht="15.75">
      <c r="A154" s="111"/>
      <c r="B154" s="168" t="s">
        <v>107</v>
      </c>
      <c r="C154" s="68"/>
      <c r="D154" s="93"/>
      <c r="E154" s="93"/>
      <c r="F154" s="93"/>
      <c r="G154" s="29"/>
      <c r="H154" s="29"/>
      <c r="I154" s="29"/>
      <c r="J154" s="112"/>
      <c r="K154" s="29"/>
      <c r="L154" s="99"/>
      <c r="M154" s="113"/>
      <c r="N154" s="6"/>
    </row>
    <row r="155" spans="1:14" ht="15.75">
      <c r="A155" s="108"/>
      <c r="B155" s="93" t="s">
        <v>108</v>
      </c>
      <c r="C155" s="68"/>
      <c r="D155" s="68"/>
      <c r="E155" s="68"/>
      <c r="F155" s="68"/>
      <c r="G155" s="29"/>
      <c r="H155" s="29"/>
      <c r="I155" s="29"/>
      <c r="J155" s="67">
        <f>L116</f>
        <v>1193</v>
      </c>
      <c r="K155" s="29"/>
      <c r="L155" s="99"/>
      <c r="M155" s="113"/>
      <c r="N155" s="6"/>
    </row>
    <row r="156" spans="1:14" ht="15.75">
      <c r="A156" s="108"/>
      <c r="B156" s="93" t="s">
        <v>109</v>
      </c>
      <c r="C156" s="68"/>
      <c r="D156" s="68"/>
      <c r="E156" s="68"/>
      <c r="F156" s="68"/>
      <c r="G156" s="29"/>
      <c r="H156" s="29"/>
      <c r="I156" s="29"/>
      <c r="J156" s="67">
        <f>L116+'Nov 02'!J156</f>
        <v>14954</v>
      </c>
      <c r="K156" s="29"/>
      <c r="L156" s="99"/>
      <c r="M156" s="113"/>
      <c r="N156" s="6"/>
    </row>
    <row r="157" spans="1:14" ht="15.75">
      <c r="A157" s="108"/>
      <c r="B157" s="93" t="s">
        <v>110</v>
      </c>
      <c r="C157" s="68"/>
      <c r="D157" s="68"/>
      <c r="E157" s="68"/>
      <c r="F157" s="68"/>
      <c r="G157" s="29"/>
      <c r="H157" s="29"/>
      <c r="I157" s="29"/>
      <c r="J157" s="67"/>
      <c r="K157" s="29"/>
      <c r="L157" s="99"/>
      <c r="M157" s="113"/>
      <c r="N157" s="6"/>
    </row>
    <row r="158" spans="1:14" ht="15.75">
      <c r="A158" s="108"/>
      <c r="B158" s="93"/>
      <c r="C158" s="68"/>
      <c r="D158" s="68"/>
      <c r="E158" s="68"/>
      <c r="F158" s="68"/>
      <c r="G158" s="29"/>
      <c r="H158" s="29"/>
      <c r="I158" s="29"/>
      <c r="J158" s="67"/>
      <c r="K158" s="29"/>
      <c r="L158" s="99"/>
      <c r="M158" s="113"/>
      <c r="N158" s="6"/>
    </row>
    <row r="159" spans="1:14" ht="15.75">
      <c r="A159" s="111"/>
      <c r="B159" s="168" t="s">
        <v>111</v>
      </c>
      <c r="C159" s="68"/>
      <c r="D159" s="93"/>
      <c r="E159" s="93"/>
      <c r="F159" s="93"/>
      <c r="G159" s="29"/>
      <c r="H159" s="29"/>
      <c r="I159" s="29"/>
      <c r="J159" s="89"/>
      <c r="K159" s="29"/>
      <c r="L159" s="99"/>
      <c r="M159" s="113"/>
      <c r="N159" s="6"/>
    </row>
    <row r="160" spans="1:14" ht="15.75">
      <c r="A160" s="111"/>
      <c r="B160" s="93" t="s">
        <v>112</v>
      </c>
      <c r="C160" s="68"/>
      <c r="D160" s="93"/>
      <c r="E160" s="93"/>
      <c r="F160" s="93"/>
      <c r="G160" s="29"/>
      <c r="H160" s="29"/>
      <c r="I160" s="29"/>
      <c r="J160" s="89">
        <v>0</v>
      </c>
      <c r="K160" s="29"/>
      <c r="L160" s="99"/>
      <c r="M160" s="113"/>
      <c r="N160" s="6"/>
    </row>
    <row r="161" spans="1:14" ht="15.75">
      <c r="A161" s="108"/>
      <c r="B161" s="93" t="s">
        <v>113</v>
      </c>
      <c r="C161" s="68"/>
      <c r="D161" s="114"/>
      <c r="E161" s="114"/>
      <c r="F161" s="115"/>
      <c r="G161" s="29"/>
      <c r="H161" s="29"/>
      <c r="I161" s="29"/>
      <c r="J161" s="89">
        <v>0</v>
      </c>
      <c r="K161" s="29"/>
      <c r="L161" s="99"/>
      <c r="M161" s="113"/>
      <c r="N161" s="6"/>
    </row>
    <row r="162" spans="1:14" ht="15.75">
      <c r="A162" s="108"/>
      <c r="B162" s="93" t="s">
        <v>114</v>
      </c>
      <c r="C162" s="68"/>
      <c r="D162" s="114"/>
      <c r="E162" s="114"/>
      <c r="F162" s="115"/>
      <c r="G162" s="29"/>
      <c r="H162" s="29"/>
      <c r="I162" s="29"/>
      <c r="J162" s="89">
        <v>0</v>
      </c>
      <c r="K162" s="29"/>
      <c r="L162" s="99"/>
      <c r="M162" s="113"/>
      <c r="N162" s="6"/>
    </row>
    <row r="163" spans="1:14" ht="15.75">
      <c r="A163" s="108"/>
      <c r="B163" s="93" t="s">
        <v>115</v>
      </c>
      <c r="C163" s="68"/>
      <c r="D163" s="116"/>
      <c r="E163" s="114"/>
      <c r="F163" s="115"/>
      <c r="G163" s="29"/>
      <c r="H163" s="29"/>
      <c r="I163" s="29"/>
      <c r="J163" s="89">
        <v>0</v>
      </c>
      <c r="K163" s="29"/>
      <c r="L163" s="99"/>
      <c r="M163" s="113"/>
      <c r="N163" s="6"/>
    </row>
    <row r="164" spans="1:14" ht="15.75">
      <c r="A164" s="108"/>
      <c r="B164" s="93"/>
      <c r="C164" s="68"/>
      <c r="D164" s="116"/>
      <c r="E164" s="114"/>
      <c r="F164" s="115"/>
      <c r="G164" s="29"/>
      <c r="H164" s="29"/>
      <c r="I164" s="29"/>
      <c r="J164" s="89"/>
      <c r="K164" s="29"/>
      <c r="L164" s="99"/>
      <c r="M164" s="113"/>
      <c r="N164" s="6"/>
    </row>
    <row r="165" spans="1:14" ht="15.75">
      <c r="A165" s="108"/>
      <c r="B165" s="168" t="s">
        <v>116</v>
      </c>
      <c r="C165" s="68"/>
      <c r="D165" s="68"/>
      <c r="E165" s="116"/>
      <c r="F165" s="114"/>
      <c r="G165" s="115"/>
      <c r="H165" s="29"/>
      <c r="I165" s="36"/>
      <c r="J165" s="36"/>
      <c r="K165" s="117"/>
      <c r="L165" s="36"/>
      <c r="M165" s="99"/>
      <c r="N165" s="6"/>
    </row>
    <row r="166" spans="1:14" ht="15.75">
      <c r="A166" s="108"/>
      <c r="B166" s="93" t="s">
        <v>117</v>
      </c>
      <c r="C166" s="68"/>
      <c r="D166" s="68"/>
      <c r="E166" s="116"/>
      <c r="F166" s="114"/>
      <c r="G166" s="115"/>
      <c r="H166" s="29"/>
      <c r="I166" s="36"/>
      <c r="J166" s="118">
        <v>42</v>
      </c>
      <c r="K166" s="118"/>
      <c r="L166" s="36"/>
      <c r="M166" s="99"/>
      <c r="N166" s="6"/>
    </row>
    <row r="167" spans="1:14" ht="15.75">
      <c r="A167" s="108"/>
      <c r="B167" s="93" t="s">
        <v>113</v>
      </c>
      <c r="C167" s="68"/>
      <c r="D167" s="68"/>
      <c r="E167" s="116"/>
      <c r="F167" s="114"/>
      <c r="G167" s="115"/>
      <c r="H167" s="29"/>
      <c r="I167" s="36"/>
      <c r="J167" s="118">
        <v>3.2</v>
      </c>
      <c r="K167" s="118"/>
      <c r="L167" s="36"/>
      <c r="M167" s="99"/>
      <c r="N167" s="6"/>
    </row>
    <row r="168" spans="1:14" ht="15.75">
      <c r="A168" s="108"/>
      <c r="B168" s="93" t="s">
        <v>118</v>
      </c>
      <c r="C168" s="68"/>
      <c r="D168" s="68"/>
      <c r="E168" s="116"/>
      <c r="F168" s="114"/>
      <c r="G168" s="115"/>
      <c r="H168" s="29"/>
      <c r="I168" s="36"/>
      <c r="J168" s="118">
        <v>32</v>
      </c>
      <c r="K168" s="118"/>
      <c r="L168" s="36"/>
      <c r="M168" s="99"/>
      <c r="N168" s="6"/>
    </row>
    <row r="169" spans="1:14" ht="15.75">
      <c r="A169" s="108"/>
      <c r="B169" s="93"/>
      <c r="C169" s="68"/>
      <c r="D169" s="116"/>
      <c r="E169" s="114"/>
      <c r="F169" s="115"/>
      <c r="G169" s="29"/>
      <c r="H169" s="29"/>
      <c r="I169" s="29"/>
      <c r="J169" s="89"/>
      <c r="K169" s="29"/>
      <c r="L169" s="99"/>
      <c r="M169" s="113"/>
      <c r="N169" s="6"/>
    </row>
    <row r="170" spans="1:14" ht="15.75">
      <c r="A170" s="28"/>
      <c r="B170" s="119" t="s">
        <v>119</v>
      </c>
      <c r="C170" s="120"/>
      <c r="D170" s="121"/>
      <c r="E170" s="120"/>
      <c r="F170" s="121"/>
      <c r="G170" s="120"/>
      <c r="H170" s="121"/>
      <c r="I170" s="120"/>
      <c r="J170" s="121"/>
      <c r="K170" s="120"/>
      <c r="L170" s="122"/>
      <c r="M170" s="113"/>
      <c r="N170" s="6"/>
    </row>
    <row r="171" spans="1:14" ht="15.75">
      <c r="A171" s="28"/>
      <c r="B171" s="33"/>
      <c r="C171" s="84"/>
      <c r="D171" s="119" t="s">
        <v>151</v>
      </c>
      <c r="E171" s="120"/>
      <c r="F171" s="121"/>
      <c r="G171" s="120"/>
      <c r="H171" s="119" t="s">
        <v>39</v>
      </c>
      <c r="I171" s="120"/>
      <c r="J171" s="121"/>
      <c r="K171" s="120"/>
      <c r="L171" s="122"/>
      <c r="M171" s="113"/>
      <c r="N171" s="6"/>
    </row>
    <row r="172" spans="1:14" ht="15.75">
      <c r="A172" s="28"/>
      <c r="B172" s="84"/>
      <c r="C172" s="121" t="s">
        <v>141</v>
      </c>
      <c r="D172" s="120" t="s">
        <v>152</v>
      </c>
      <c r="E172" s="121" t="s">
        <v>157</v>
      </c>
      <c r="F172" s="120" t="s">
        <v>152</v>
      </c>
      <c r="G172" s="120"/>
      <c r="H172" s="121" t="s">
        <v>141</v>
      </c>
      <c r="I172" s="120" t="s">
        <v>152</v>
      </c>
      <c r="J172" s="121" t="s">
        <v>157</v>
      </c>
      <c r="K172" s="120" t="s">
        <v>152</v>
      </c>
      <c r="L172" s="122"/>
      <c r="M172" s="113"/>
      <c r="N172" s="6"/>
    </row>
    <row r="173" spans="1:14" ht="15.75">
      <c r="A173" s="28"/>
      <c r="B173" s="68" t="s">
        <v>120</v>
      </c>
      <c r="C173" s="123">
        <v>9052</v>
      </c>
      <c r="D173" s="96">
        <f>C173/$C$177</f>
        <v>0.8298496516318299</v>
      </c>
      <c r="E173" s="123">
        <v>55616</v>
      </c>
      <c r="F173" s="96">
        <f>E173/$E$177</f>
        <v>0.8911106838428507</v>
      </c>
      <c r="G173" s="120"/>
      <c r="H173" s="123">
        <v>38215</v>
      </c>
      <c r="I173" s="96">
        <f>H173/$H$177</f>
        <v>0.9312100979579901</v>
      </c>
      <c r="J173" s="123">
        <v>30125</v>
      </c>
      <c r="K173" s="96">
        <f>J173/$J$177</f>
        <v>0.9284085305719921</v>
      </c>
      <c r="L173" s="122"/>
      <c r="M173" s="113"/>
      <c r="N173" s="6"/>
    </row>
    <row r="174" spans="1:14" ht="15.75">
      <c r="A174" s="28"/>
      <c r="B174" s="68" t="s">
        <v>121</v>
      </c>
      <c r="C174" s="123">
        <v>167</v>
      </c>
      <c r="D174" s="96">
        <f>C174/$C$177</f>
        <v>0.01530986431976531</v>
      </c>
      <c r="E174" s="123">
        <v>865</v>
      </c>
      <c r="F174" s="96">
        <f>E174/$E$177</f>
        <v>0.013859514195987951</v>
      </c>
      <c r="G174" s="120"/>
      <c r="H174" s="123">
        <v>410</v>
      </c>
      <c r="I174" s="96">
        <f>H174/$H$177</f>
        <v>0.009990740289487791</v>
      </c>
      <c r="J174" s="123">
        <v>305</v>
      </c>
      <c r="K174" s="96">
        <f>J174/$J$177</f>
        <v>0.00939965483234714</v>
      </c>
      <c r="L174" s="122"/>
      <c r="M174" s="113"/>
      <c r="N174" s="6"/>
    </row>
    <row r="175" spans="1:14" ht="15.75">
      <c r="A175" s="28"/>
      <c r="B175" s="68" t="s">
        <v>122</v>
      </c>
      <c r="C175" s="123">
        <v>138</v>
      </c>
      <c r="D175" s="96">
        <f>C175/$C$177</f>
        <v>0.012651265126512651</v>
      </c>
      <c r="E175" s="123">
        <v>870</v>
      </c>
      <c r="F175" s="96">
        <f>E175/$E$177</f>
        <v>0.01393962699480869</v>
      </c>
      <c r="G175" s="120"/>
      <c r="H175" s="123">
        <v>292</v>
      </c>
      <c r="I175" s="96">
        <f>H175/$H$177</f>
        <v>0.00711535649885472</v>
      </c>
      <c r="J175" s="123">
        <v>200</v>
      </c>
      <c r="K175" s="96">
        <f>J175/$J$177</f>
        <v>0.00616370808678501</v>
      </c>
      <c r="L175" s="122"/>
      <c r="M175" s="113"/>
      <c r="N175" s="6"/>
    </row>
    <row r="176" spans="1:16" ht="15.75">
      <c r="A176" s="28"/>
      <c r="B176" s="68" t="s">
        <v>123</v>
      </c>
      <c r="C176" s="123">
        <v>1551</v>
      </c>
      <c r="D176" s="96">
        <f>C176/$C$177</f>
        <v>0.14218921892189218</v>
      </c>
      <c r="E176" s="123">
        <v>5061</v>
      </c>
      <c r="F176" s="96">
        <f>E176/$E$177</f>
        <v>0.08109017496635262</v>
      </c>
      <c r="G176" s="120"/>
      <c r="H176" s="123">
        <v>2121</v>
      </c>
      <c r="I176" s="96">
        <f>H176/$H$177</f>
        <v>0.05168380525366733</v>
      </c>
      <c r="J176" s="123">
        <v>1818</v>
      </c>
      <c r="K176" s="96">
        <f>J176/$J$177</f>
        <v>0.05602810650887574</v>
      </c>
      <c r="L176" s="122"/>
      <c r="M176" s="113"/>
      <c r="N176" s="6"/>
      <c r="P176" s="72"/>
    </row>
    <row r="177" spans="1:16" ht="15.75">
      <c r="A177" s="28"/>
      <c r="B177" s="68" t="s">
        <v>124</v>
      </c>
      <c r="C177" s="123">
        <f>SUM(C173:C176)</f>
        <v>10908</v>
      </c>
      <c r="D177" s="96">
        <f>SUM(D173:D176)</f>
        <v>1</v>
      </c>
      <c r="E177" s="123">
        <f>SUM(E173:E176)</f>
        <v>62412</v>
      </c>
      <c r="F177" s="96">
        <f>SUM(F173:F176)</f>
        <v>1</v>
      </c>
      <c r="G177" s="120"/>
      <c r="H177" s="123">
        <f>SUM(H173:H176)</f>
        <v>41038</v>
      </c>
      <c r="I177" s="96">
        <f>SUM(I173:I176)</f>
        <v>1</v>
      </c>
      <c r="J177" s="123">
        <f>SUM(J173:J176)</f>
        <v>32448</v>
      </c>
      <c r="K177" s="96">
        <f>SUM(K173:K176)</f>
        <v>1</v>
      </c>
      <c r="L177" s="122"/>
      <c r="M177" s="113"/>
      <c r="N177" s="6"/>
      <c r="P177" s="72"/>
    </row>
    <row r="178" spans="1:15" ht="15.75">
      <c r="A178" s="28"/>
      <c r="B178" s="68" t="s">
        <v>125</v>
      </c>
      <c r="C178" s="123">
        <v>3093</v>
      </c>
      <c r="D178" s="124"/>
      <c r="E178" s="123">
        <f>36+20968</f>
        <v>21004</v>
      </c>
      <c r="F178" s="124"/>
      <c r="G178" s="120"/>
      <c r="H178" s="123">
        <v>1926</v>
      </c>
      <c r="I178" s="124"/>
      <c r="J178" s="123">
        <v>2625</v>
      </c>
      <c r="K178" s="124"/>
      <c r="L178" s="122"/>
      <c r="M178" s="113"/>
      <c r="N178" s="6"/>
      <c r="O178" s="72"/>
    </row>
    <row r="179" spans="1:17" ht="15.75">
      <c r="A179" s="28"/>
      <c r="B179" s="68" t="s">
        <v>126</v>
      </c>
      <c r="C179" s="123">
        <f>SUM(C177:C178)</f>
        <v>14001</v>
      </c>
      <c r="D179" s="84"/>
      <c r="E179" s="123">
        <f>E178+E177</f>
        <v>83416</v>
      </c>
      <c r="F179" s="127"/>
      <c r="G179" s="84"/>
      <c r="H179" s="123">
        <f>SUM(H177:H178)</f>
        <v>42964</v>
      </c>
      <c r="I179" s="84"/>
      <c r="J179" s="123">
        <f>J178+J177</f>
        <v>35073</v>
      </c>
      <c r="K179" s="84"/>
      <c r="L179" s="84"/>
      <c r="M179" s="113"/>
      <c r="N179" s="6"/>
      <c r="P179" s="72"/>
      <c r="Q179" s="72"/>
    </row>
    <row r="180" spans="1:16" ht="15.75">
      <c r="A180" s="28"/>
      <c r="B180" s="68"/>
      <c r="C180" s="123"/>
      <c r="D180" s="127"/>
      <c r="E180" s="123"/>
      <c r="F180" s="127"/>
      <c r="G180" s="120"/>
      <c r="H180" s="123"/>
      <c r="I180" s="127"/>
      <c r="J180" s="123"/>
      <c r="K180" s="127"/>
      <c r="L180" s="122"/>
      <c r="M180" s="113"/>
      <c r="N180" s="6"/>
      <c r="P180" s="72"/>
    </row>
    <row r="181" spans="1:15" ht="15.75">
      <c r="A181" s="28"/>
      <c r="B181" s="68"/>
      <c r="C181" s="120"/>
      <c r="D181" s="119" t="s">
        <v>40</v>
      </c>
      <c r="E181" s="120"/>
      <c r="F181" s="121"/>
      <c r="G181" s="120"/>
      <c r="H181" s="119" t="s">
        <v>41</v>
      </c>
      <c r="I181" s="120"/>
      <c r="J181" s="121"/>
      <c r="K181" s="120"/>
      <c r="L181" s="122"/>
      <c r="M181" s="113"/>
      <c r="N181" s="6"/>
      <c r="O181" s="72"/>
    </row>
    <row r="182" spans="1:14" ht="15.75">
      <c r="A182" s="28"/>
      <c r="B182" s="84"/>
      <c r="C182" s="121" t="s">
        <v>141</v>
      </c>
      <c r="D182" s="120" t="s">
        <v>152</v>
      </c>
      <c r="E182" s="121" t="s">
        <v>157</v>
      </c>
      <c r="F182" s="120" t="s">
        <v>152</v>
      </c>
      <c r="G182" s="120"/>
      <c r="H182" s="121" t="s">
        <v>141</v>
      </c>
      <c r="I182" s="120" t="s">
        <v>152</v>
      </c>
      <c r="J182" s="121" t="s">
        <v>157</v>
      </c>
      <c r="K182" s="120" t="s">
        <v>152</v>
      </c>
      <c r="L182" s="122"/>
      <c r="M182" s="113"/>
      <c r="N182" s="6"/>
    </row>
    <row r="183" spans="1:15" ht="15.75">
      <c r="A183" s="28"/>
      <c r="B183" s="68" t="s">
        <v>120</v>
      </c>
      <c r="C183" s="123">
        <v>4111</v>
      </c>
      <c r="D183" s="96">
        <f>C183/$C$187</f>
        <v>0.9127442273534636</v>
      </c>
      <c r="E183" s="123">
        <v>70569</v>
      </c>
      <c r="F183" s="96">
        <f>E183/$E$187</f>
        <v>0.968383351858713</v>
      </c>
      <c r="G183" s="120"/>
      <c r="H183" s="123">
        <v>11719</v>
      </c>
      <c r="I183" s="96">
        <f>H183/$H$187</f>
        <v>0.9645267489711934</v>
      </c>
      <c r="J183" s="123">
        <v>71943</v>
      </c>
      <c r="K183" s="96">
        <f>J183/$J$187</f>
        <v>0.9889751872980961</v>
      </c>
      <c r="L183" s="122"/>
      <c r="M183" s="113"/>
      <c r="N183" s="6"/>
      <c r="O183" s="72"/>
    </row>
    <row r="184" spans="1:14" ht="15.75">
      <c r="A184" s="28"/>
      <c r="B184" s="68" t="s">
        <v>121</v>
      </c>
      <c r="C184" s="123">
        <v>77</v>
      </c>
      <c r="D184" s="96">
        <f>C184/$C$187</f>
        <v>0.017095914742451153</v>
      </c>
      <c r="E184" s="123">
        <v>1163</v>
      </c>
      <c r="F184" s="96">
        <f>E184/$E$187</f>
        <v>0.01595927160951244</v>
      </c>
      <c r="G184" s="120"/>
      <c r="H184" s="123">
        <v>43</v>
      </c>
      <c r="I184" s="96">
        <f>H184/$H$187</f>
        <v>0.003539094650205761</v>
      </c>
      <c r="J184" s="123">
        <v>293</v>
      </c>
      <c r="K184" s="96">
        <f>J184/$J$187</f>
        <v>0.004027768231493574</v>
      </c>
      <c r="L184" s="122"/>
      <c r="M184" s="113"/>
      <c r="N184" s="6"/>
    </row>
    <row r="185" spans="1:14" ht="15.75">
      <c r="A185" s="28"/>
      <c r="B185" s="68" t="s">
        <v>122</v>
      </c>
      <c r="C185" s="123">
        <v>27</v>
      </c>
      <c r="D185" s="96">
        <f>C185/$C$187</f>
        <v>0.005994671403197158</v>
      </c>
      <c r="E185" s="123">
        <v>407</v>
      </c>
      <c r="F185" s="96">
        <f>E185/$E$187</f>
        <v>0.005585058938152677</v>
      </c>
      <c r="G185" s="120"/>
      <c r="H185" s="123">
        <v>22</v>
      </c>
      <c r="I185" s="96">
        <f>H185/$H$187</f>
        <v>0.0018106995884773663</v>
      </c>
      <c r="J185" s="123">
        <v>158</v>
      </c>
      <c r="K185" s="96">
        <f>J185/$J$187</f>
        <v>0.002171970582170596</v>
      </c>
      <c r="L185" s="122"/>
      <c r="M185" s="113"/>
      <c r="N185" s="6"/>
    </row>
    <row r="186" spans="1:14" ht="15.75">
      <c r="A186" s="28"/>
      <c r="B186" s="68" t="s">
        <v>123</v>
      </c>
      <c r="C186" s="123">
        <v>289</v>
      </c>
      <c r="D186" s="96">
        <f>C186/$C$187</f>
        <v>0.0641651865008881</v>
      </c>
      <c r="E186" s="123">
        <v>734</v>
      </c>
      <c r="F186" s="96">
        <f>E186/$E$187</f>
        <v>0.010072317593621781</v>
      </c>
      <c r="G186" s="120"/>
      <c r="H186" s="123">
        <v>366</v>
      </c>
      <c r="I186" s="96">
        <f>H186/$H$187</f>
        <v>0.030123456790123456</v>
      </c>
      <c r="J186" s="123">
        <v>351</v>
      </c>
      <c r="K186" s="96">
        <f>J186/$J$187</f>
        <v>0.004825073888239741</v>
      </c>
      <c r="L186" s="122"/>
      <c r="M186" s="113"/>
      <c r="N186" s="6"/>
    </row>
    <row r="187" spans="1:14" ht="15.75">
      <c r="A187" s="28"/>
      <c r="B187" s="68" t="str">
        <f>B177</f>
        <v>Total Performing  Assets</v>
      </c>
      <c r="C187" s="123">
        <f>SUM(C183:C186)</f>
        <v>4504</v>
      </c>
      <c r="D187" s="96">
        <f>SUM(D183:D186)</f>
        <v>1</v>
      </c>
      <c r="E187" s="123">
        <f>SUM(E183:E186)</f>
        <v>72873</v>
      </c>
      <c r="F187" s="96">
        <f>SUM(F183:F186)</f>
        <v>1</v>
      </c>
      <c r="G187" s="120"/>
      <c r="H187" s="123">
        <f>SUM(H183:H186)</f>
        <v>12150</v>
      </c>
      <c r="I187" s="96">
        <f>SUM(I183:I186)</f>
        <v>0.9999999999999999</v>
      </c>
      <c r="J187" s="123">
        <f>SUM(J183:J186)</f>
        <v>72745</v>
      </c>
      <c r="K187" s="96">
        <f>SUM(K183:K186)</f>
        <v>0.9999999999999999</v>
      </c>
      <c r="L187" s="122"/>
      <c r="M187" s="113"/>
      <c r="N187" s="6"/>
    </row>
    <row r="188" spans="1:14" ht="15.75">
      <c r="A188" s="28"/>
      <c r="B188" s="68" t="s">
        <v>125</v>
      </c>
      <c r="C188" s="123">
        <v>2</v>
      </c>
      <c r="D188" s="126"/>
      <c r="E188" s="123">
        <v>15</v>
      </c>
      <c r="F188" s="124"/>
      <c r="G188" s="120"/>
      <c r="H188" s="123">
        <v>8</v>
      </c>
      <c r="I188" s="126"/>
      <c r="J188" s="123">
        <v>50</v>
      </c>
      <c r="K188" s="126"/>
      <c r="L188" s="122"/>
      <c r="M188" s="113"/>
      <c r="N188" s="6"/>
    </row>
    <row r="189" spans="1:15" ht="15.75">
      <c r="A189" s="28"/>
      <c r="B189" s="68" t="s">
        <v>126</v>
      </c>
      <c r="C189" s="123">
        <f>SUM(C187:C188)</f>
        <v>4506</v>
      </c>
      <c r="D189" s="84"/>
      <c r="E189" s="123">
        <f>E188+E187</f>
        <v>72888</v>
      </c>
      <c r="F189" s="127"/>
      <c r="G189" s="84"/>
      <c r="H189" s="123">
        <f>SUM(H187:H188)</f>
        <v>12158</v>
      </c>
      <c r="I189" s="84"/>
      <c r="J189" s="123">
        <f>J188+J187</f>
        <v>72795</v>
      </c>
      <c r="K189" s="84"/>
      <c r="L189" s="84"/>
      <c r="M189" s="84"/>
      <c r="N189" s="6"/>
      <c r="O189" s="72"/>
    </row>
    <row r="190" spans="1:14" ht="15.75">
      <c r="A190" s="28"/>
      <c r="B190" s="68"/>
      <c r="C190" s="120"/>
      <c r="D190" s="121"/>
      <c r="E190" s="120"/>
      <c r="F190" s="121"/>
      <c r="G190" s="120"/>
      <c r="H190" s="128"/>
      <c r="I190" s="120"/>
      <c r="J190" s="123"/>
      <c r="K190" s="120"/>
      <c r="L190" s="122"/>
      <c r="M190" s="113"/>
      <c r="N190" s="6"/>
    </row>
    <row r="191" spans="1:14" ht="15.75">
      <c r="A191" s="28"/>
      <c r="B191" s="68" t="s">
        <v>126</v>
      </c>
      <c r="C191" s="120"/>
      <c r="D191" s="121"/>
      <c r="E191" s="120"/>
      <c r="F191" s="121"/>
      <c r="G191" s="120"/>
      <c r="H191" s="128"/>
      <c r="I191" s="126"/>
      <c r="J191" s="123">
        <f>E179+J179+E189+J189</f>
        <v>264172</v>
      </c>
      <c r="K191" s="127"/>
      <c r="L191" s="122"/>
      <c r="M191" s="113"/>
      <c r="N191" s="6"/>
    </row>
    <row r="192" spans="1:14" ht="15.75">
      <c r="A192" s="28"/>
      <c r="B192" s="68"/>
      <c r="C192" s="120"/>
      <c r="D192" s="121"/>
      <c r="E192" s="120"/>
      <c r="F192" s="121"/>
      <c r="G192" s="120"/>
      <c r="H192" s="121"/>
      <c r="I192" s="120"/>
      <c r="J192" s="123"/>
      <c r="K192" s="126"/>
      <c r="L192" s="122"/>
      <c r="M192" s="113"/>
      <c r="N192" s="6"/>
    </row>
    <row r="193" spans="1:14" ht="15.75">
      <c r="A193" s="28"/>
      <c r="B193" s="129" t="s">
        <v>127</v>
      </c>
      <c r="C193" s="120"/>
      <c r="D193" s="121"/>
      <c r="E193" s="120"/>
      <c r="F193" s="121"/>
      <c r="G193" s="120"/>
      <c r="H193" s="121"/>
      <c r="I193" s="120"/>
      <c r="J193" s="123"/>
      <c r="K193" s="120"/>
      <c r="L193" s="122"/>
      <c r="M193" s="113"/>
      <c r="N193" s="6"/>
    </row>
    <row r="194" spans="1:14" ht="15.75">
      <c r="A194" s="28"/>
      <c r="B194" s="68"/>
      <c r="C194" s="120"/>
      <c r="D194" s="121"/>
      <c r="E194" s="120"/>
      <c r="F194" s="121"/>
      <c r="G194" s="120"/>
      <c r="H194" s="121"/>
      <c r="I194" s="120"/>
      <c r="J194" s="123"/>
      <c r="K194" s="120"/>
      <c r="L194" s="122"/>
      <c r="M194" s="113"/>
      <c r="N194" s="6"/>
    </row>
    <row r="195" spans="1:14" ht="15.75">
      <c r="A195" s="28"/>
      <c r="B195" s="68" t="s">
        <v>128</v>
      </c>
      <c r="C195" s="120"/>
      <c r="D195" s="121"/>
      <c r="E195" s="120"/>
      <c r="F195" s="121"/>
      <c r="G195" s="120"/>
      <c r="H195" s="121"/>
      <c r="I195" s="120"/>
      <c r="J195" s="123">
        <f>E177+J177+E187+J187</f>
        <v>240478</v>
      </c>
      <c r="K195" s="120"/>
      <c r="L195" s="122"/>
      <c r="M195" s="113"/>
      <c r="N195" s="6"/>
    </row>
    <row r="196" spans="1:14" ht="15.75">
      <c r="A196" s="28"/>
      <c r="B196" s="68" t="s">
        <v>129</v>
      </c>
      <c r="C196" s="120"/>
      <c r="D196" s="121"/>
      <c r="E196" s="120"/>
      <c r="F196" s="121"/>
      <c r="G196" s="120"/>
      <c r="H196" s="121"/>
      <c r="I196" s="120"/>
      <c r="J196" s="123">
        <f>L93</f>
        <v>12311</v>
      </c>
      <c r="K196" s="120"/>
      <c r="L196" s="122"/>
      <c r="M196" s="113"/>
      <c r="N196" s="6"/>
    </row>
    <row r="197" spans="1:14" ht="15.75">
      <c r="A197" s="28"/>
      <c r="B197" s="68" t="s">
        <v>130</v>
      </c>
      <c r="C197" s="120"/>
      <c r="D197" s="121"/>
      <c r="E197" s="120"/>
      <c r="F197" s="121"/>
      <c r="G197" s="120"/>
      <c r="H197" s="121"/>
      <c r="I197" s="120"/>
      <c r="J197" s="123">
        <v>-1789</v>
      </c>
      <c r="K197" s="120"/>
      <c r="L197" s="122"/>
      <c r="M197" s="113"/>
      <c r="N197" s="6"/>
    </row>
    <row r="198" spans="1:14" ht="15.75">
      <c r="A198" s="28"/>
      <c r="B198" s="68" t="s">
        <v>131</v>
      </c>
      <c r="C198" s="120"/>
      <c r="D198" s="121"/>
      <c r="E198" s="120"/>
      <c r="F198" s="121"/>
      <c r="G198" s="120"/>
      <c r="H198" s="121"/>
      <c r="I198" s="120"/>
      <c r="J198" s="123">
        <f>SUM(J195:J197)</f>
        <v>251000</v>
      </c>
      <c r="K198" s="120"/>
      <c r="L198" s="122"/>
      <c r="M198" s="113"/>
      <c r="N198" s="6"/>
    </row>
    <row r="199" spans="1:14" ht="15.75">
      <c r="A199" s="28"/>
      <c r="B199" s="68"/>
      <c r="C199" s="120"/>
      <c r="D199" s="121"/>
      <c r="E199" s="120"/>
      <c r="F199" s="121"/>
      <c r="G199" s="120"/>
      <c r="H199" s="121"/>
      <c r="I199" s="120"/>
      <c r="J199" s="123"/>
      <c r="K199" s="120"/>
      <c r="L199" s="122"/>
      <c r="M199" s="113"/>
      <c r="N199" s="6"/>
    </row>
    <row r="200" spans="1:14" ht="15.75">
      <c r="A200" s="28"/>
      <c r="B200" s="68" t="s">
        <v>132</v>
      </c>
      <c r="C200" s="120"/>
      <c r="D200" s="121"/>
      <c r="E200" s="120"/>
      <c r="F200" s="121"/>
      <c r="G200" s="120"/>
      <c r="H200" s="121"/>
      <c r="I200" s="120"/>
      <c r="J200" s="123">
        <f>L30</f>
        <v>251000</v>
      </c>
      <c r="K200" s="120"/>
      <c r="L200" s="122"/>
      <c r="M200" s="113"/>
      <c r="N200" s="6"/>
    </row>
    <row r="201" spans="1:14" ht="15.75">
      <c r="A201" s="28"/>
      <c r="B201" s="68"/>
      <c r="C201" s="120"/>
      <c r="D201" s="121"/>
      <c r="E201" s="120"/>
      <c r="F201" s="121"/>
      <c r="G201" s="120"/>
      <c r="H201" s="121"/>
      <c r="I201" s="120"/>
      <c r="J201" s="123"/>
      <c r="K201" s="120"/>
      <c r="L201" s="122"/>
      <c r="M201" s="113"/>
      <c r="N201" s="6"/>
    </row>
    <row r="202" spans="1:14" ht="15.75">
      <c r="A202" s="28"/>
      <c r="B202" s="68" t="s">
        <v>133</v>
      </c>
      <c r="C202" s="120"/>
      <c r="D202" s="121"/>
      <c r="E202" s="120"/>
      <c r="F202" s="121"/>
      <c r="G202" s="120"/>
      <c r="H202" s="121"/>
      <c r="I202" s="120"/>
      <c r="J202" s="123">
        <f>J198/J200</f>
        <v>1</v>
      </c>
      <c r="K202" s="120"/>
      <c r="L202" s="122"/>
      <c r="M202" s="113"/>
      <c r="N202" s="6"/>
    </row>
    <row r="203" spans="1:14" ht="15.75">
      <c r="A203" s="28"/>
      <c r="B203" s="29"/>
      <c r="C203" s="29"/>
      <c r="D203" s="36"/>
      <c r="E203" s="29"/>
      <c r="F203" s="29"/>
      <c r="G203" s="29"/>
      <c r="H203" s="66"/>
      <c r="I203" s="130"/>
      <c r="J203" s="67"/>
      <c r="K203" s="130"/>
      <c r="L203" s="99"/>
      <c r="M203" s="29"/>
      <c r="N203" s="6"/>
    </row>
    <row r="204" spans="1:14" ht="15.75">
      <c r="A204" s="131"/>
      <c r="B204" s="33" t="s">
        <v>134</v>
      </c>
      <c r="C204" s="132"/>
      <c r="D204" s="120" t="s">
        <v>153</v>
      </c>
      <c r="E204" s="122"/>
      <c r="F204" s="33" t="s">
        <v>166</v>
      </c>
      <c r="G204" s="133"/>
      <c r="H204" s="133"/>
      <c r="I204" s="133"/>
      <c r="J204" s="134"/>
      <c r="K204" s="32"/>
      <c r="L204" s="32"/>
      <c r="M204" s="32"/>
      <c r="N204" s="6"/>
    </row>
    <row r="205" spans="1:14" ht="15.75">
      <c r="A205" s="135"/>
      <c r="B205" s="15" t="s">
        <v>135</v>
      </c>
      <c r="C205" s="136"/>
      <c r="D205" s="137" t="s">
        <v>154</v>
      </c>
      <c r="E205" s="15"/>
      <c r="F205" s="15" t="s">
        <v>167</v>
      </c>
      <c r="G205" s="136"/>
      <c r="H205" s="136"/>
      <c r="I205" s="14"/>
      <c r="J205" s="14"/>
      <c r="K205" s="14"/>
      <c r="L205" s="14"/>
      <c r="M205" s="14"/>
      <c r="N205" s="6"/>
    </row>
    <row r="206" spans="1:14" ht="15.75">
      <c r="A206" s="135"/>
      <c r="B206" s="15" t="s">
        <v>136</v>
      </c>
      <c r="C206" s="136"/>
      <c r="D206" s="137" t="s">
        <v>155</v>
      </c>
      <c r="E206" s="15"/>
      <c r="F206" s="15" t="s">
        <v>168</v>
      </c>
      <c r="G206" s="136"/>
      <c r="H206" s="136"/>
      <c r="I206" s="14"/>
      <c r="J206" s="14"/>
      <c r="K206" s="14"/>
      <c r="L206" s="14"/>
      <c r="M206" s="14"/>
      <c r="N206" s="6"/>
    </row>
    <row r="207" spans="1:14" ht="15.75">
      <c r="A207" s="135"/>
      <c r="B207" s="15"/>
      <c r="C207" s="136"/>
      <c r="D207" s="137"/>
      <c r="E207" s="15"/>
      <c r="F207" s="15"/>
      <c r="G207" s="136"/>
      <c r="H207" s="136"/>
      <c r="I207" s="14"/>
      <c r="J207" s="14"/>
      <c r="K207" s="14"/>
      <c r="L207" s="14"/>
      <c r="M207" s="14"/>
      <c r="N207" s="6"/>
    </row>
    <row r="208" spans="1:14" ht="15.75">
      <c r="A208" s="135"/>
      <c r="B208" s="15"/>
      <c r="C208" s="136"/>
      <c r="D208" s="137"/>
      <c r="E208" s="15"/>
      <c r="F208" s="15"/>
      <c r="G208" s="136"/>
      <c r="H208" s="136"/>
      <c r="I208" s="14"/>
      <c r="J208" s="14"/>
      <c r="K208" s="14"/>
      <c r="L208" s="14"/>
      <c r="M208" s="14"/>
      <c r="N208" s="6"/>
    </row>
    <row r="209" spans="1:14" ht="15.75">
      <c r="A209" s="135"/>
      <c r="B209" s="15" t="str">
        <f>B148</f>
        <v>PPAF1 INVESTOR REPORT QUARTER ENDING FEBRUARY 2003</v>
      </c>
      <c r="C209" s="136"/>
      <c r="D209" s="137"/>
      <c r="E209" s="15"/>
      <c r="F209" s="15"/>
      <c r="G209" s="136"/>
      <c r="H209" s="136"/>
      <c r="I209" s="14"/>
      <c r="J209" s="14"/>
      <c r="K209" s="14"/>
      <c r="L209" s="14"/>
      <c r="M209" s="14"/>
      <c r="N209" s="6"/>
    </row>
    <row r="210" spans="1:13" ht="15">
      <c r="A210" s="138"/>
      <c r="B210" s="138"/>
      <c r="C210" s="138"/>
      <c r="D210" s="138"/>
      <c r="E210" s="138"/>
      <c r="F210" s="138"/>
      <c r="G210" s="138"/>
      <c r="H210" s="138"/>
      <c r="I210" s="138"/>
      <c r="J210" s="138"/>
      <c r="K210" s="138"/>
      <c r="L210" s="138"/>
      <c r="M210" s="138"/>
    </row>
  </sheetData>
  <printOptions horizontalCentered="1" verticalCentered="1"/>
  <pageMargins left="0.2362204724409449" right="0.4330708661417323" top="0.2362204724409449" bottom="0.7480314960629921" header="0" footer="0"/>
  <pageSetup horizontalDpi="600" verticalDpi="600" orientation="landscape" paperSize="9" scale="50" r:id="rId2"/>
  <rowBreaks count="4" manualBreakCount="4">
    <brk id="50" max="13" man="1"/>
    <brk id="97" max="13" man="1"/>
    <brk id="148" max="13" man="1"/>
    <brk id="210" max="0" man="1"/>
  </rowBreaks>
  <drawing r:id="rId1"/>
</worksheet>
</file>

<file path=xl/worksheets/sheet8.xml><?xml version="1.0" encoding="utf-8"?>
<worksheet xmlns="http://schemas.openxmlformats.org/spreadsheetml/2006/main" xmlns:r="http://schemas.openxmlformats.org/officeDocument/2006/relationships">
  <dimension ref="A1:P210"/>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1.6640625" style="1" customWidth="1"/>
    <col min="3" max="3" width="12.6640625" style="1" customWidth="1"/>
    <col min="4" max="4" width="14.6640625" style="1" customWidth="1"/>
    <col min="5" max="5" width="11.6640625" style="1" customWidth="1"/>
    <col min="6" max="6" width="14.6640625" style="1" customWidth="1"/>
    <col min="7" max="7" width="7.6640625" style="1" customWidth="1"/>
    <col min="8" max="8" width="13.6640625" style="1" customWidth="1"/>
    <col min="9" max="9" width="9.6640625" style="1" customWidth="1"/>
    <col min="10" max="10" width="13.6640625" style="1" customWidth="1"/>
    <col min="11" max="11" width="8.6640625" style="1" customWidth="1"/>
    <col min="12" max="12" width="15.6640625" style="1" customWidth="1"/>
    <col min="13" max="13" width="11.886718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8"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2" t="s">
        <v>2</v>
      </c>
      <c r="C5" s="13"/>
      <c r="D5" s="9"/>
      <c r="E5" s="9"/>
      <c r="F5" s="9"/>
      <c r="G5" s="9"/>
      <c r="H5" s="9"/>
      <c r="I5" s="9"/>
      <c r="J5" s="9"/>
      <c r="K5" s="9"/>
      <c r="L5" s="9"/>
      <c r="M5" s="9"/>
      <c r="N5" s="6"/>
    </row>
    <row r="6" spans="1:14" ht="15.75">
      <c r="A6" s="7"/>
      <c r="B6" s="12" t="s">
        <v>3</v>
      </c>
      <c r="C6" s="13"/>
      <c r="D6" s="9"/>
      <c r="E6" s="9"/>
      <c r="F6" s="9"/>
      <c r="G6" s="9"/>
      <c r="H6" s="9"/>
      <c r="I6" s="9"/>
      <c r="J6" s="9"/>
      <c r="K6" s="9"/>
      <c r="L6" s="9"/>
      <c r="M6" s="9"/>
      <c r="N6" s="6"/>
    </row>
    <row r="7" spans="1:14" ht="15.75">
      <c r="A7" s="7"/>
      <c r="B7" s="12" t="s">
        <v>4</v>
      </c>
      <c r="C7" s="13"/>
      <c r="D7" s="9"/>
      <c r="E7" s="9"/>
      <c r="F7" s="9"/>
      <c r="G7" s="9"/>
      <c r="H7" s="9"/>
      <c r="I7" s="9"/>
      <c r="J7" s="9"/>
      <c r="K7" s="9"/>
      <c r="L7" s="9"/>
      <c r="M7" s="9"/>
      <c r="N7" s="6"/>
    </row>
    <row r="8" spans="1:14" ht="15.75">
      <c r="A8" s="7"/>
      <c r="B8" s="14"/>
      <c r="C8" s="13"/>
      <c r="D8" s="9"/>
      <c r="E8" s="9"/>
      <c r="F8" s="9"/>
      <c r="G8" s="9"/>
      <c r="H8" s="9"/>
      <c r="I8" s="9"/>
      <c r="J8" s="9"/>
      <c r="K8" s="9"/>
      <c r="L8" s="9"/>
      <c r="M8" s="9"/>
      <c r="N8" s="6"/>
    </row>
    <row r="9" spans="1:14" ht="15.75">
      <c r="A9" s="7"/>
      <c r="B9" s="13"/>
      <c r="C9" s="13"/>
      <c r="D9" s="15"/>
      <c r="E9" s="15"/>
      <c r="F9" s="9"/>
      <c r="G9" s="9"/>
      <c r="H9" s="9"/>
      <c r="I9" s="9"/>
      <c r="J9" s="9"/>
      <c r="K9" s="9"/>
      <c r="L9" s="9"/>
      <c r="M9" s="9"/>
      <c r="N9" s="6"/>
    </row>
    <row r="10" spans="1:14" ht="15.75">
      <c r="A10" s="7"/>
      <c r="B10" s="15" t="s">
        <v>5</v>
      </c>
      <c r="C10" s="15"/>
      <c r="D10" s="9"/>
      <c r="E10" s="9"/>
      <c r="F10" s="9"/>
      <c r="G10" s="9"/>
      <c r="H10" s="9"/>
      <c r="I10" s="9"/>
      <c r="J10" s="9"/>
      <c r="K10" s="9"/>
      <c r="L10" s="9"/>
      <c r="M10" s="9"/>
      <c r="N10" s="6"/>
    </row>
    <row r="11" spans="1:14" ht="15.75">
      <c r="A11" s="7"/>
      <c r="B11" s="15"/>
      <c r="C11" s="15"/>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6" t="s">
        <v>6</v>
      </c>
      <c r="C13" s="16"/>
      <c r="D13" s="17"/>
      <c r="E13" s="17"/>
      <c r="F13" s="17"/>
      <c r="G13" s="17"/>
      <c r="H13" s="17"/>
      <c r="I13" s="17"/>
      <c r="J13" s="17"/>
      <c r="K13" s="17"/>
      <c r="L13" s="18" t="s">
        <v>186</v>
      </c>
      <c r="M13" s="9"/>
      <c r="N13" s="6"/>
    </row>
    <row r="14" spans="1:14" ht="15.75">
      <c r="A14" s="7"/>
      <c r="B14" s="16" t="s">
        <v>7</v>
      </c>
      <c r="C14" s="16"/>
      <c r="D14" s="19" t="s">
        <v>140</v>
      </c>
      <c r="E14" s="20">
        <v>0.348</v>
      </c>
      <c r="F14" s="19" t="s">
        <v>150</v>
      </c>
      <c r="G14" s="20">
        <v>0.229</v>
      </c>
      <c r="H14" s="19" t="s">
        <v>156</v>
      </c>
      <c r="I14" s="20">
        <v>0.098</v>
      </c>
      <c r="J14" s="19" t="s">
        <v>165</v>
      </c>
      <c r="K14" s="20">
        <v>0.1</v>
      </c>
      <c r="L14" s="18"/>
      <c r="M14" s="17"/>
      <c r="N14" s="6"/>
    </row>
    <row r="15" spans="1:14" ht="15.75">
      <c r="A15" s="7"/>
      <c r="B15" s="16" t="s">
        <v>8</v>
      </c>
      <c r="C15" s="16"/>
      <c r="D15" s="19" t="s">
        <v>140</v>
      </c>
      <c r="E15" s="20">
        <f>E177/($J$195+$L$93)</f>
        <v>0.21659961469842437</v>
      </c>
      <c r="F15" s="19" t="s">
        <v>150</v>
      </c>
      <c r="G15" s="20">
        <f>J177/($J$195+$L$93)</f>
        <v>0.10526961220622733</v>
      </c>
      <c r="H15" s="19" t="s">
        <v>156</v>
      </c>
      <c r="I15" s="20">
        <f>E187/($J$195+$L$93)</f>
        <v>0.26180727800655884</v>
      </c>
      <c r="J15" s="19" t="s">
        <v>165</v>
      </c>
      <c r="K15" s="20">
        <f>J187/($J$195+$L$93)</f>
        <v>0.25499527273734224</v>
      </c>
      <c r="L15" s="18"/>
      <c r="M15" s="17"/>
      <c r="N15" s="6"/>
    </row>
    <row r="16" spans="1:14" ht="15.75">
      <c r="A16" s="7"/>
      <c r="B16" s="16" t="s">
        <v>9</v>
      </c>
      <c r="C16" s="16"/>
      <c r="D16" s="17"/>
      <c r="E16" s="17"/>
      <c r="F16" s="17"/>
      <c r="G16" s="17"/>
      <c r="H16" s="17"/>
      <c r="I16" s="17"/>
      <c r="J16" s="17"/>
      <c r="K16" s="17"/>
      <c r="L16" s="178">
        <v>37070</v>
      </c>
      <c r="M16" s="9"/>
      <c r="N16" s="6"/>
    </row>
    <row r="17" spans="1:14" ht="15.75">
      <c r="A17" s="7"/>
      <c r="B17" s="16" t="s">
        <v>10</v>
      </c>
      <c r="C17" s="16"/>
      <c r="D17" s="17"/>
      <c r="E17" s="17"/>
      <c r="F17" s="17"/>
      <c r="G17" s="17"/>
      <c r="H17" s="17"/>
      <c r="I17" s="17"/>
      <c r="J17" s="17"/>
      <c r="K17" s="17"/>
      <c r="L17" s="21">
        <v>37792</v>
      </c>
      <c r="M17" s="9"/>
      <c r="N17" s="6"/>
    </row>
    <row r="18" spans="1:14" ht="15.75">
      <c r="A18" s="7"/>
      <c r="B18" s="9"/>
      <c r="C18" s="9"/>
      <c r="D18" s="9"/>
      <c r="E18" s="9"/>
      <c r="F18" s="9"/>
      <c r="G18" s="9"/>
      <c r="H18" s="9"/>
      <c r="I18" s="9"/>
      <c r="J18" s="9"/>
      <c r="K18" s="9"/>
      <c r="L18" s="22"/>
      <c r="M18" s="9"/>
      <c r="N18" s="6"/>
    </row>
    <row r="19" spans="1:14" ht="15.75">
      <c r="A19" s="7"/>
      <c r="B19" s="23" t="s">
        <v>11</v>
      </c>
      <c r="C19" s="9"/>
      <c r="D19" s="9"/>
      <c r="E19" s="9"/>
      <c r="F19" s="9"/>
      <c r="G19" s="9"/>
      <c r="H19" s="9"/>
      <c r="I19" s="9"/>
      <c r="J19" s="22"/>
      <c r="K19" s="9"/>
      <c r="L19" s="14"/>
      <c r="M19" s="9"/>
      <c r="N19" s="6"/>
    </row>
    <row r="20" spans="1:14" ht="15.75">
      <c r="A20" s="7"/>
      <c r="B20" s="9"/>
      <c r="C20" s="9"/>
      <c r="D20" s="9"/>
      <c r="E20" s="9"/>
      <c r="F20" s="9"/>
      <c r="G20" s="9"/>
      <c r="H20" s="9"/>
      <c r="I20" s="9"/>
      <c r="J20" s="9"/>
      <c r="K20" s="9"/>
      <c r="L20" s="24"/>
      <c r="M20" s="9"/>
      <c r="N20" s="6"/>
    </row>
    <row r="21" spans="1:14" ht="15.75">
      <c r="A21" s="7"/>
      <c r="B21" s="9"/>
      <c r="C21" s="159" t="s">
        <v>137</v>
      </c>
      <c r="D21" s="161" t="s">
        <v>142</v>
      </c>
      <c r="E21" s="161"/>
      <c r="F21" s="161" t="s">
        <v>158</v>
      </c>
      <c r="G21" s="161"/>
      <c r="H21" s="161" t="s">
        <v>169</v>
      </c>
      <c r="I21" s="161"/>
      <c r="J21" s="169"/>
      <c r="K21" s="14"/>
      <c r="L21" s="14"/>
      <c r="M21" s="9"/>
      <c r="N21" s="6"/>
    </row>
    <row r="22" spans="1:14" ht="15.75">
      <c r="A22" s="28"/>
      <c r="B22" s="29" t="s">
        <v>12</v>
      </c>
      <c r="C22" s="160" t="s">
        <v>138</v>
      </c>
      <c r="D22" s="31" t="s">
        <v>143</v>
      </c>
      <c r="E22" s="31"/>
      <c r="F22" s="31" t="s">
        <v>159</v>
      </c>
      <c r="G22" s="31"/>
      <c r="H22" s="31" t="s">
        <v>170</v>
      </c>
      <c r="I22" s="31"/>
      <c r="J22" s="31"/>
      <c r="K22" s="32"/>
      <c r="L22" s="32"/>
      <c r="M22" s="29"/>
      <c r="N22" s="6"/>
    </row>
    <row r="23" spans="1:14" ht="15.75">
      <c r="A23" s="28"/>
      <c r="B23" s="29" t="s">
        <v>13</v>
      </c>
      <c r="C23" s="30"/>
      <c r="D23" s="31" t="s">
        <v>144</v>
      </c>
      <c r="E23" s="31"/>
      <c r="F23" s="31" t="s">
        <v>160</v>
      </c>
      <c r="G23" s="31"/>
      <c r="H23" s="31" t="s">
        <v>171</v>
      </c>
      <c r="I23" s="31"/>
      <c r="J23" s="31"/>
      <c r="K23" s="32"/>
      <c r="L23" s="32"/>
      <c r="M23" s="29"/>
      <c r="N23" s="6"/>
    </row>
    <row r="24" spans="1:14" ht="15.75">
      <c r="A24" s="28"/>
      <c r="B24" s="33" t="s">
        <v>14</v>
      </c>
      <c r="C24" s="33"/>
      <c r="D24" s="34" t="s">
        <v>143</v>
      </c>
      <c r="E24" s="34"/>
      <c r="F24" s="34" t="s">
        <v>159</v>
      </c>
      <c r="G24" s="34"/>
      <c r="H24" s="34" t="s">
        <v>170</v>
      </c>
      <c r="I24" s="34"/>
      <c r="J24" s="34"/>
      <c r="K24" s="35"/>
      <c r="L24" s="32"/>
      <c r="M24" s="29"/>
      <c r="N24" s="6"/>
    </row>
    <row r="25" spans="1:14" ht="15.75">
      <c r="A25" s="28"/>
      <c r="B25" s="33" t="s">
        <v>15</v>
      </c>
      <c r="C25" s="33"/>
      <c r="D25" s="34" t="s">
        <v>144</v>
      </c>
      <c r="E25" s="34"/>
      <c r="F25" s="34" t="s">
        <v>160</v>
      </c>
      <c r="G25" s="34"/>
      <c r="H25" s="34" t="s">
        <v>171</v>
      </c>
      <c r="I25" s="34"/>
      <c r="J25" s="34"/>
      <c r="K25" s="35"/>
      <c r="L25" s="32"/>
      <c r="M25" s="29"/>
      <c r="N25" s="6"/>
    </row>
    <row r="26" spans="1:14" ht="15.75">
      <c r="A26" s="28"/>
      <c r="B26" s="29" t="s">
        <v>16</v>
      </c>
      <c r="C26" s="29"/>
      <c r="D26" s="36" t="s">
        <v>145</v>
      </c>
      <c r="E26" s="31"/>
      <c r="F26" s="36" t="s">
        <v>161</v>
      </c>
      <c r="G26" s="31"/>
      <c r="H26" s="36" t="s">
        <v>172</v>
      </c>
      <c r="I26" s="31"/>
      <c r="J26" s="36"/>
      <c r="K26" s="32"/>
      <c r="L26" s="32"/>
      <c r="M26" s="29"/>
      <c r="N26" s="6"/>
    </row>
    <row r="27" spans="1:14" ht="15.75">
      <c r="A27" s="28"/>
      <c r="B27" s="29"/>
      <c r="C27" s="29"/>
      <c r="D27" s="29"/>
      <c r="E27" s="31"/>
      <c r="F27" s="31"/>
      <c r="G27" s="31"/>
      <c r="H27" s="31"/>
      <c r="I27" s="31"/>
      <c r="J27" s="31"/>
      <c r="K27" s="32"/>
      <c r="L27" s="32"/>
      <c r="M27" s="29"/>
      <c r="N27" s="6"/>
    </row>
    <row r="28" spans="1:14" ht="15.75">
      <c r="A28" s="28"/>
      <c r="B28" s="29" t="s">
        <v>17</v>
      </c>
      <c r="C28" s="29"/>
      <c r="D28" s="37">
        <v>178210</v>
      </c>
      <c r="E28" s="38"/>
      <c r="F28" s="37">
        <v>51450</v>
      </c>
      <c r="G28" s="37"/>
      <c r="H28" s="37">
        <v>21340</v>
      </c>
      <c r="I28" s="37"/>
      <c r="J28" s="37"/>
      <c r="K28" s="39"/>
      <c r="L28" s="37">
        <f>J28+H28+F28+D28</f>
        <v>251000</v>
      </c>
      <c r="M28" s="40"/>
      <c r="N28" s="6"/>
    </row>
    <row r="29" spans="1:14" ht="15.75">
      <c r="A29" s="28"/>
      <c r="B29" s="29" t="s">
        <v>18</v>
      </c>
      <c r="C29" s="44">
        <v>1</v>
      </c>
      <c r="D29" s="37">
        <v>178210</v>
      </c>
      <c r="E29" s="38"/>
      <c r="F29" s="37">
        <v>51450</v>
      </c>
      <c r="G29" s="37"/>
      <c r="H29" s="37">
        <v>21340</v>
      </c>
      <c r="I29" s="42"/>
      <c r="J29" s="37"/>
      <c r="K29" s="39"/>
      <c r="L29" s="37">
        <f>J29+H29+F29+D29</f>
        <v>251000</v>
      </c>
      <c r="M29" s="40"/>
      <c r="N29" s="6"/>
    </row>
    <row r="30" spans="1:14" ht="15.75">
      <c r="A30" s="43"/>
      <c r="B30" s="33" t="s">
        <v>19</v>
      </c>
      <c r="C30" s="44">
        <v>1</v>
      </c>
      <c r="D30" s="45">
        <v>178210</v>
      </c>
      <c r="E30" s="46"/>
      <c r="F30" s="45">
        <v>51450</v>
      </c>
      <c r="G30" s="45"/>
      <c r="H30" s="45">
        <v>21340</v>
      </c>
      <c r="I30" s="45"/>
      <c r="J30" s="45"/>
      <c r="K30" s="47"/>
      <c r="L30" s="45">
        <f>J30+H30+F30+D30</f>
        <v>251000</v>
      </c>
      <c r="M30" s="29"/>
      <c r="N30" s="6"/>
    </row>
    <row r="31" spans="1:14" ht="15.75">
      <c r="A31" s="28"/>
      <c r="B31" s="29" t="s">
        <v>20</v>
      </c>
      <c r="C31" s="48"/>
      <c r="D31" s="36" t="s">
        <v>146</v>
      </c>
      <c r="E31" s="29"/>
      <c r="F31" s="36" t="s">
        <v>162</v>
      </c>
      <c r="G31" s="36"/>
      <c r="H31" s="36" t="s">
        <v>173</v>
      </c>
      <c r="I31" s="36"/>
      <c r="J31" s="36"/>
      <c r="K31" s="32"/>
      <c r="L31" s="32"/>
      <c r="M31" s="29"/>
      <c r="N31" s="6"/>
    </row>
    <row r="32" spans="1:14" ht="15.75">
      <c r="A32" s="28"/>
      <c r="B32" s="29" t="s">
        <v>21</v>
      </c>
      <c r="C32" s="48"/>
      <c r="D32" s="49">
        <v>0.0393375</v>
      </c>
      <c r="E32" s="50"/>
      <c r="F32" s="49">
        <v>0.0449375</v>
      </c>
      <c r="G32" s="49"/>
      <c r="H32" s="49">
        <v>0.0589375</v>
      </c>
      <c r="I32" s="51"/>
      <c r="J32" s="49"/>
      <c r="K32" s="32"/>
      <c r="L32" s="51">
        <f>SUMPRODUCT(D32:J32,D30:J30)/L30</f>
        <v>0.04215177888446215</v>
      </c>
      <c r="M32" s="29"/>
      <c r="N32" s="6"/>
    </row>
    <row r="33" spans="1:14" ht="15.75">
      <c r="A33" s="28"/>
      <c r="B33" s="29" t="s">
        <v>22</v>
      </c>
      <c r="C33" s="48"/>
      <c r="D33" s="49">
        <v>0.0429945</v>
      </c>
      <c r="E33" s="50"/>
      <c r="F33" s="49">
        <v>0.0485945</v>
      </c>
      <c r="G33" s="49"/>
      <c r="H33" s="49">
        <v>0.0625945</v>
      </c>
      <c r="I33" s="51"/>
      <c r="J33" s="49"/>
      <c r="K33" s="32"/>
      <c r="L33" s="32"/>
      <c r="M33" s="29"/>
      <c r="N33" s="6"/>
    </row>
    <row r="34" spans="1:14" ht="15.75">
      <c r="A34" s="28"/>
      <c r="B34" s="29" t="s">
        <v>23</v>
      </c>
      <c r="C34" s="48"/>
      <c r="D34" s="36" t="s">
        <v>147</v>
      </c>
      <c r="E34" s="29"/>
      <c r="F34" s="36" t="s">
        <v>147</v>
      </c>
      <c r="G34" s="36"/>
      <c r="H34" s="36" t="s">
        <v>147</v>
      </c>
      <c r="I34" s="36"/>
      <c r="J34" s="36"/>
      <c r="K34" s="32"/>
      <c r="L34" s="32"/>
      <c r="M34" s="29"/>
      <c r="N34" s="6"/>
    </row>
    <row r="35" spans="1:14" ht="15.75">
      <c r="A35" s="28"/>
      <c r="B35" s="29" t="s">
        <v>24</v>
      </c>
      <c r="C35" s="29"/>
      <c r="D35" s="52">
        <v>39248</v>
      </c>
      <c r="E35" s="29"/>
      <c r="F35" s="52">
        <v>39248</v>
      </c>
      <c r="G35" s="52"/>
      <c r="H35" s="52">
        <v>39248</v>
      </c>
      <c r="I35" s="36"/>
      <c r="J35" s="36"/>
      <c r="K35" s="32"/>
      <c r="L35" s="32"/>
      <c r="M35" s="29"/>
      <c r="N35" s="6"/>
    </row>
    <row r="36" spans="1:14" ht="15.75">
      <c r="A36" s="28"/>
      <c r="B36" s="29" t="s">
        <v>25</v>
      </c>
      <c r="C36" s="29"/>
      <c r="D36" s="36" t="s">
        <v>148</v>
      </c>
      <c r="E36" s="29"/>
      <c r="F36" s="36" t="s">
        <v>163</v>
      </c>
      <c r="G36" s="36"/>
      <c r="H36" s="36" t="s">
        <v>174</v>
      </c>
      <c r="I36" s="36"/>
      <c r="J36" s="36"/>
      <c r="K36" s="32"/>
      <c r="L36" s="32"/>
      <c r="M36" s="29"/>
      <c r="N36" s="6"/>
    </row>
    <row r="37" spans="1:14" ht="15.75">
      <c r="A37" s="28"/>
      <c r="B37" s="29"/>
      <c r="C37" s="29"/>
      <c r="D37" s="53"/>
      <c r="E37" s="53"/>
      <c r="F37" s="50"/>
      <c r="G37" s="53"/>
      <c r="H37" s="142"/>
      <c r="I37" s="53"/>
      <c r="J37" s="53"/>
      <c r="K37" s="53"/>
      <c r="L37" s="53"/>
      <c r="M37" s="29"/>
      <c r="N37" s="6"/>
    </row>
    <row r="38" spans="1:14" ht="15.75">
      <c r="A38" s="28"/>
      <c r="B38" s="29" t="s">
        <v>26</v>
      </c>
      <c r="C38" s="29"/>
      <c r="D38" s="29"/>
      <c r="E38" s="29"/>
      <c r="F38" s="50"/>
      <c r="G38" s="29"/>
      <c r="H38" s="50"/>
      <c r="I38" s="29"/>
      <c r="J38" s="29"/>
      <c r="K38" s="29"/>
      <c r="L38" s="51">
        <f>(H28+F28)/(D28)</f>
        <v>0.4084507042253521</v>
      </c>
      <c r="M38" s="29"/>
      <c r="N38" s="6"/>
    </row>
    <row r="39" spans="1:14" ht="15.75">
      <c r="A39" s="28"/>
      <c r="B39" s="29" t="s">
        <v>27</v>
      </c>
      <c r="C39" s="29"/>
      <c r="D39" s="50"/>
      <c r="E39" s="29"/>
      <c r="F39" s="50"/>
      <c r="G39" s="29"/>
      <c r="H39" s="50"/>
      <c r="I39" s="29"/>
      <c r="J39" s="29"/>
      <c r="K39" s="29"/>
      <c r="L39" s="51">
        <f>(H30+F30)/(D30)</f>
        <v>0.4084507042253521</v>
      </c>
      <c r="M39" s="29"/>
      <c r="N39" s="6"/>
    </row>
    <row r="40" spans="1:14" ht="15.75">
      <c r="A40" s="28"/>
      <c r="B40" s="29" t="s">
        <v>28</v>
      </c>
      <c r="C40" s="29"/>
      <c r="D40" s="29"/>
      <c r="E40" s="29"/>
      <c r="F40" s="50"/>
      <c r="G40" s="29"/>
      <c r="H40" s="50"/>
      <c r="I40" s="29"/>
      <c r="J40" s="36" t="s">
        <v>142</v>
      </c>
      <c r="K40" s="36" t="s">
        <v>185</v>
      </c>
      <c r="L40" s="37">
        <v>38766</v>
      </c>
      <c r="M40" s="29"/>
      <c r="N40" s="6"/>
    </row>
    <row r="41" spans="1:14" ht="15.75">
      <c r="A41" s="28"/>
      <c r="B41" s="29"/>
      <c r="C41" s="29"/>
      <c r="D41" s="50"/>
      <c r="E41" s="29"/>
      <c r="F41" s="50"/>
      <c r="G41" s="29"/>
      <c r="H41" s="29"/>
      <c r="I41" s="29"/>
      <c r="J41" s="29" t="s">
        <v>177</v>
      </c>
      <c r="K41" s="29"/>
      <c r="L41" s="54"/>
      <c r="M41" s="29"/>
      <c r="N41" s="6"/>
    </row>
    <row r="42" spans="1:14" ht="15.75">
      <c r="A42" s="28"/>
      <c r="B42" s="29" t="s">
        <v>29</v>
      </c>
      <c r="C42" s="29"/>
      <c r="D42" s="29"/>
      <c r="E42" s="29"/>
      <c r="F42" s="29"/>
      <c r="G42" s="29"/>
      <c r="H42" s="29"/>
      <c r="I42" s="29"/>
      <c r="J42" s="36"/>
      <c r="K42" s="36"/>
      <c r="L42" s="36" t="s">
        <v>187</v>
      </c>
      <c r="M42" s="29"/>
      <c r="N42" s="6"/>
    </row>
    <row r="43" spans="1:14" ht="15.75">
      <c r="A43" s="43"/>
      <c r="B43" s="33" t="s">
        <v>30</v>
      </c>
      <c r="C43" s="33"/>
      <c r="D43" s="33"/>
      <c r="E43" s="33"/>
      <c r="F43" s="33"/>
      <c r="G43" s="33"/>
      <c r="H43" s="33"/>
      <c r="I43" s="33"/>
      <c r="J43" s="55"/>
      <c r="K43" s="55"/>
      <c r="L43" s="56">
        <v>37788</v>
      </c>
      <c r="M43" s="33"/>
      <c r="N43" s="6"/>
    </row>
    <row r="44" spans="1:14" ht="15.75">
      <c r="A44" s="28"/>
      <c r="B44" s="29" t="s">
        <v>31</v>
      </c>
      <c r="C44" s="29"/>
      <c r="D44" s="29"/>
      <c r="E44" s="29"/>
      <c r="F44" s="29"/>
      <c r="G44" s="29"/>
      <c r="H44" s="32"/>
      <c r="I44" s="29">
        <f>L44-J44+1</f>
        <v>91</v>
      </c>
      <c r="J44" s="58">
        <v>37606</v>
      </c>
      <c r="K44" s="59"/>
      <c r="L44" s="58">
        <v>37696</v>
      </c>
      <c r="M44" s="29"/>
      <c r="N44" s="6"/>
    </row>
    <row r="45" spans="1:14" ht="15.75">
      <c r="A45" s="28"/>
      <c r="B45" s="29" t="s">
        <v>32</v>
      </c>
      <c r="C45" s="29"/>
      <c r="D45" s="29"/>
      <c r="E45" s="29"/>
      <c r="F45" s="29"/>
      <c r="G45" s="29"/>
      <c r="H45" s="32"/>
      <c r="I45" s="29">
        <f>L45-J45+1</f>
        <v>91</v>
      </c>
      <c r="J45" s="58">
        <v>37697</v>
      </c>
      <c r="K45" s="59"/>
      <c r="L45" s="58">
        <v>37787</v>
      </c>
      <c r="M45" s="29"/>
      <c r="N45" s="6"/>
    </row>
    <row r="46" spans="1:14" ht="15.75">
      <c r="A46" s="28"/>
      <c r="B46" s="29" t="s">
        <v>33</v>
      </c>
      <c r="C46" s="29"/>
      <c r="D46" s="29"/>
      <c r="E46" s="29"/>
      <c r="F46" s="29"/>
      <c r="G46" s="29"/>
      <c r="H46" s="29"/>
      <c r="I46" s="29"/>
      <c r="J46" s="58"/>
      <c r="K46" s="59"/>
      <c r="L46" s="58" t="s">
        <v>188</v>
      </c>
      <c r="M46" s="29"/>
      <c r="N46" s="6"/>
    </row>
    <row r="47" spans="1:14" ht="15.75">
      <c r="A47" s="28"/>
      <c r="B47" s="29" t="s">
        <v>34</v>
      </c>
      <c r="C47" s="29"/>
      <c r="D47" s="29"/>
      <c r="E47" s="29"/>
      <c r="F47" s="29"/>
      <c r="G47" s="29"/>
      <c r="H47" s="29"/>
      <c r="I47" s="29"/>
      <c r="J47" s="58"/>
      <c r="K47" s="59"/>
      <c r="L47" s="58">
        <v>37777</v>
      </c>
      <c r="M47" s="29"/>
      <c r="N47" s="6"/>
    </row>
    <row r="48" spans="1:14" ht="15.75">
      <c r="A48" s="28"/>
      <c r="B48" s="29"/>
      <c r="C48" s="29"/>
      <c r="D48" s="29"/>
      <c r="E48" s="29"/>
      <c r="F48" s="29"/>
      <c r="G48" s="29"/>
      <c r="H48" s="29"/>
      <c r="I48" s="29"/>
      <c r="J48" s="29"/>
      <c r="K48" s="29"/>
      <c r="L48" s="60"/>
      <c r="M48" s="29"/>
      <c r="N48" s="6"/>
    </row>
    <row r="49" spans="1:14" ht="15.75">
      <c r="A49" s="7"/>
      <c r="B49" s="9"/>
      <c r="C49" s="9"/>
      <c r="D49" s="9"/>
      <c r="E49" s="9"/>
      <c r="F49" s="9"/>
      <c r="G49" s="9"/>
      <c r="H49" s="9"/>
      <c r="I49" s="9"/>
      <c r="J49" s="9"/>
      <c r="K49" s="9"/>
      <c r="L49" s="61"/>
      <c r="M49" s="9"/>
      <c r="N49" s="6"/>
    </row>
    <row r="50" spans="1:14" ht="16.5" thickBot="1">
      <c r="A50" s="144"/>
      <c r="B50" s="145" t="s">
        <v>198</v>
      </c>
      <c r="C50" s="146"/>
      <c r="D50" s="146"/>
      <c r="E50" s="146"/>
      <c r="F50" s="146"/>
      <c r="G50" s="146"/>
      <c r="H50" s="146"/>
      <c r="I50" s="146"/>
      <c r="J50" s="146"/>
      <c r="K50" s="146"/>
      <c r="L50" s="147"/>
      <c r="M50" s="148"/>
      <c r="N50" s="6"/>
    </row>
    <row r="51" spans="1:14" ht="15.75">
      <c r="A51" s="2"/>
      <c r="B51" s="5"/>
      <c r="C51" s="5"/>
      <c r="D51" s="5"/>
      <c r="E51" s="5"/>
      <c r="F51" s="5"/>
      <c r="G51" s="5"/>
      <c r="H51" s="5"/>
      <c r="I51" s="5"/>
      <c r="J51" s="5"/>
      <c r="K51" s="5"/>
      <c r="L51" s="62"/>
      <c r="M51" s="5"/>
      <c r="N51" s="6"/>
    </row>
    <row r="52" spans="1:14" ht="15.75">
      <c r="A52" s="7"/>
      <c r="B52" s="63" t="s">
        <v>36</v>
      </c>
      <c r="C52" s="15"/>
      <c r="D52" s="9"/>
      <c r="E52" s="9"/>
      <c r="F52" s="9"/>
      <c r="G52" s="9"/>
      <c r="H52" s="9"/>
      <c r="I52" s="9"/>
      <c r="J52" s="9"/>
      <c r="K52" s="9"/>
      <c r="L52" s="64"/>
      <c r="M52" s="9"/>
      <c r="N52" s="6"/>
    </row>
    <row r="53" spans="1:14" ht="15.75">
      <c r="A53" s="7"/>
      <c r="B53" s="15"/>
      <c r="C53" s="15"/>
      <c r="D53" s="9"/>
      <c r="E53" s="9"/>
      <c r="F53" s="9"/>
      <c r="G53" s="9"/>
      <c r="H53" s="9"/>
      <c r="I53" s="9"/>
      <c r="J53" s="9"/>
      <c r="K53" s="9"/>
      <c r="L53" s="64"/>
      <c r="M53" s="9"/>
      <c r="N53" s="6"/>
    </row>
    <row r="54" spans="1:14" s="176" customFormat="1" ht="47.25">
      <c r="A54" s="170"/>
      <c r="B54" s="171"/>
      <c r="C54" s="172" t="s">
        <v>139</v>
      </c>
      <c r="D54" s="172" t="s">
        <v>149</v>
      </c>
      <c r="E54" s="172"/>
      <c r="F54" s="172" t="s">
        <v>164</v>
      </c>
      <c r="G54" s="172"/>
      <c r="H54" s="172" t="s">
        <v>175</v>
      </c>
      <c r="I54" s="172"/>
      <c r="J54" s="172" t="s">
        <v>178</v>
      </c>
      <c r="K54" s="172"/>
      <c r="L54" s="173" t="s">
        <v>189</v>
      </c>
      <c r="M54" s="174"/>
      <c r="N54" s="175"/>
    </row>
    <row r="55" spans="1:14" ht="15.75">
      <c r="A55" s="28"/>
      <c r="B55" s="29" t="s">
        <v>37</v>
      </c>
      <c r="C55" s="66">
        <f>81776+9633</f>
        <v>91409</v>
      </c>
      <c r="D55" s="66">
        <v>83415</v>
      </c>
      <c r="E55" s="66"/>
      <c r="F55" s="66">
        <f>3479+3853+211+8+16+126</f>
        <v>7693</v>
      </c>
      <c r="G55" s="66"/>
      <c r="H55" s="66">
        <v>539</v>
      </c>
      <c r="I55" s="66"/>
      <c r="J55" s="66">
        <v>0</v>
      </c>
      <c r="K55" s="66"/>
      <c r="L55" s="67">
        <f>D55-F55+H55-J55</f>
        <v>76261</v>
      </c>
      <c r="M55" s="29"/>
      <c r="N55" s="6"/>
    </row>
    <row r="56" spans="1:14" ht="15.75">
      <c r="A56" s="28"/>
      <c r="B56" s="29" t="s">
        <v>38</v>
      </c>
      <c r="C56" s="66">
        <v>1</v>
      </c>
      <c r="D56" s="66">
        <v>0</v>
      </c>
      <c r="E56" s="66"/>
      <c r="F56" s="66"/>
      <c r="G56" s="66"/>
      <c r="H56" s="66">
        <v>0</v>
      </c>
      <c r="I56" s="66"/>
      <c r="J56" s="66">
        <v>0</v>
      </c>
      <c r="K56" s="66"/>
      <c r="L56" s="67">
        <f>D56-F56</f>
        <v>0</v>
      </c>
      <c r="M56" s="29"/>
      <c r="N56" s="6"/>
    </row>
    <row r="57" spans="1:14" ht="15.75">
      <c r="A57" s="28"/>
      <c r="B57" s="29"/>
      <c r="C57" s="66"/>
      <c r="D57" s="66"/>
      <c r="E57" s="66"/>
      <c r="F57" s="66"/>
      <c r="G57" s="66"/>
      <c r="H57" s="66"/>
      <c r="I57" s="66"/>
      <c r="J57" s="66"/>
      <c r="K57" s="66"/>
      <c r="L57" s="67"/>
      <c r="M57" s="29"/>
      <c r="N57" s="6"/>
    </row>
    <row r="58" spans="1:14" ht="15.75">
      <c r="A58" s="28"/>
      <c r="B58" s="29" t="s">
        <v>39</v>
      </c>
      <c r="C58" s="66">
        <f>59449+801</f>
        <v>60250</v>
      </c>
      <c r="D58" s="66">
        <v>35073</v>
      </c>
      <c r="E58" s="66"/>
      <c r="F58" s="66">
        <f>10267+25+65</f>
        <v>10357</v>
      </c>
      <c r="G58" s="66"/>
      <c r="H58" s="66">
        <f>592+4291</f>
        <v>4883</v>
      </c>
      <c r="I58" s="66"/>
      <c r="J58" s="66">
        <f>SUM(J55:J57)</f>
        <v>0</v>
      </c>
      <c r="K58" s="66"/>
      <c r="L58" s="67">
        <f>D58-F58+H58-J58</f>
        <v>29599</v>
      </c>
      <c r="M58" s="29"/>
      <c r="N58" s="6"/>
    </row>
    <row r="59" spans="1:14" ht="15.75">
      <c r="A59" s="28"/>
      <c r="B59" s="29" t="s">
        <v>38</v>
      </c>
      <c r="C59" s="66">
        <v>136</v>
      </c>
      <c r="D59" s="66"/>
      <c r="E59" s="66"/>
      <c r="F59" s="66"/>
      <c r="G59" s="66"/>
      <c r="H59" s="66">
        <v>0</v>
      </c>
      <c r="I59" s="66"/>
      <c r="J59" s="66">
        <v>0</v>
      </c>
      <c r="K59" s="66"/>
      <c r="L59" s="68"/>
      <c r="M59" s="29"/>
      <c r="N59" s="6"/>
    </row>
    <row r="60" spans="1:14" ht="15.75">
      <c r="A60" s="28"/>
      <c r="B60" s="69"/>
      <c r="C60" s="66"/>
      <c r="D60" s="66"/>
      <c r="E60" s="66"/>
      <c r="F60" s="70"/>
      <c r="G60" s="66"/>
      <c r="H60" s="66"/>
      <c r="I60" s="66"/>
      <c r="J60" s="66"/>
      <c r="K60" s="66"/>
      <c r="L60" s="68"/>
      <c r="M60" s="29"/>
      <c r="N60" s="6"/>
    </row>
    <row r="61" spans="1:14" ht="15.75">
      <c r="A61" s="28"/>
      <c r="B61" s="29" t="s">
        <v>40</v>
      </c>
      <c r="C61" s="66">
        <v>25730</v>
      </c>
      <c r="D61" s="66">
        <v>72889</v>
      </c>
      <c r="E61" s="66"/>
      <c r="F61" s="66">
        <f>9491+152</f>
        <v>9643</v>
      </c>
      <c r="G61" s="66"/>
      <c r="H61" s="66">
        <v>2957</v>
      </c>
      <c r="I61" s="66"/>
      <c r="J61" s="66">
        <v>0</v>
      </c>
      <c r="K61" s="66"/>
      <c r="L61" s="67">
        <f>D61-F61+H61-J61</f>
        <v>66203</v>
      </c>
      <c r="M61" s="29"/>
      <c r="N61" s="6"/>
    </row>
    <row r="62" spans="1:14" ht="15.75">
      <c r="A62" s="28"/>
      <c r="B62" s="29" t="s">
        <v>38</v>
      </c>
      <c r="C62" s="66">
        <v>260</v>
      </c>
      <c r="D62" s="67">
        <v>0</v>
      </c>
      <c r="E62" s="66"/>
      <c r="F62" s="66"/>
      <c r="G62" s="66"/>
      <c r="H62" s="66">
        <v>0</v>
      </c>
      <c r="I62" s="66"/>
      <c r="J62" s="66">
        <v>0</v>
      </c>
      <c r="K62" s="66"/>
      <c r="L62" s="67">
        <f>D62-F62+H62-J62</f>
        <v>0</v>
      </c>
      <c r="M62" s="29"/>
      <c r="N62" s="6"/>
    </row>
    <row r="63" spans="1:14" ht="15.75">
      <c r="A63" s="28"/>
      <c r="B63" s="29"/>
      <c r="C63" s="66"/>
      <c r="D63" s="67"/>
      <c r="E63" s="66"/>
      <c r="F63" s="66"/>
      <c r="G63" s="66"/>
      <c r="H63" s="66"/>
      <c r="I63" s="66"/>
      <c r="J63" s="66"/>
      <c r="K63" s="66"/>
      <c r="L63" s="67"/>
      <c r="M63" s="29"/>
      <c r="N63" s="6"/>
    </row>
    <row r="64" spans="1:14" ht="15.75">
      <c r="A64" s="28"/>
      <c r="B64" s="29" t="s">
        <v>41</v>
      </c>
      <c r="C64" s="66">
        <v>26410</v>
      </c>
      <c r="D64" s="67">
        <v>72796</v>
      </c>
      <c r="E64" s="66"/>
      <c r="F64" s="66">
        <f>10091+135+141</f>
        <v>10367</v>
      </c>
      <c r="G64" s="66"/>
      <c r="H64" s="66">
        <v>2118</v>
      </c>
      <c r="I64" s="66"/>
      <c r="J64" s="66">
        <v>0</v>
      </c>
      <c r="K64" s="66"/>
      <c r="L64" s="67">
        <f>D64-F64+H64-J64</f>
        <v>64547</v>
      </c>
      <c r="M64" s="29"/>
      <c r="N64" s="6"/>
    </row>
    <row r="65" spans="1:14" ht="15.75">
      <c r="A65" s="28"/>
      <c r="B65" s="29" t="s">
        <v>38</v>
      </c>
      <c r="C65" s="66">
        <v>229</v>
      </c>
      <c r="D65" s="67"/>
      <c r="E65" s="66"/>
      <c r="F65" s="66"/>
      <c r="G65" s="66"/>
      <c r="H65" s="66">
        <v>0</v>
      </c>
      <c r="I65" s="66"/>
      <c r="J65" s="66">
        <v>0</v>
      </c>
      <c r="K65" s="66"/>
      <c r="L65" s="67"/>
      <c r="M65" s="29"/>
      <c r="N65" s="6"/>
    </row>
    <row r="66" spans="1:14" ht="15.75">
      <c r="A66" s="28"/>
      <c r="B66" s="66"/>
      <c r="C66" s="66"/>
      <c r="D66" s="67"/>
      <c r="E66" s="66"/>
      <c r="F66" s="66"/>
      <c r="G66" s="66"/>
      <c r="H66" s="66"/>
      <c r="I66" s="66"/>
      <c r="J66" s="66"/>
      <c r="K66" s="66"/>
      <c r="L66" s="67"/>
      <c r="M66" s="29"/>
      <c r="N66" s="6"/>
    </row>
    <row r="67" spans="1:14" ht="15.75">
      <c r="A67" s="28"/>
      <c r="B67" s="29" t="s">
        <v>42</v>
      </c>
      <c r="C67" s="66">
        <f>SUM(C55:C65)</f>
        <v>204425</v>
      </c>
      <c r="D67" s="66">
        <f>SUM(D55:D64)</f>
        <v>264173</v>
      </c>
      <c r="E67" s="66"/>
      <c r="F67" s="66">
        <f>SUM(F55:F65)</f>
        <v>38060</v>
      </c>
      <c r="G67" s="66"/>
      <c r="H67" s="66">
        <f>SUM(H55:H65)</f>
        <v>10497</v>
      </c>
      <c r="I67" s="66"/>
      <c r="J67" s="66">
        <f>SUM(J62:J66)</f>
        <v>0</v>
      </c>
      <c r="K67" s="66"/>
      <c r="L67" s="66">
        <f>SUM(L55:L66)</f>
        <v>236610</v>
      </c>
      <c r="M67" s="29"/>
      <c r="N67" s="6"/>
    </row>
    <row r="68" spans="1:14" ht="15.75">
      <c r="A68" s="28"/>
      <c r="B68" s="29"/>
      <c r="C68" s="66"/>
      <c r="D68" s="68"/>
      <c r="E68" s="66"/>
      <c r="F68" s="66"/>
      <c r="G68" s="66"/>
      <c r="H68" s="66"/>
      <c r="I68" s="66"/>
      <c r="J68" s="66"/>
      <c r="K68" s="66"/>
      <c r="L68" s="68"/>
      <c r="M68" s="29"/>
      <c r="N68" s="6"/>
    </row>
    <row r="69" spans="1:14" ht="15.75">
      <c r="A69" s="28"/>
      <c r="B69" s="29" t="s">
        <v>43</v>
      </c>
      <c r="C69" s="66">
        <f>-1789-10434</f>
        <v>-12223</v>
      </c>
      <c r="D69" s="66">
        <v>-25479</v>
      </c>
      <c r="E69" s="66"/>
      <c r="F69" s="66">
        <v>914</v>
      </c>
      <c r="G69" s="66"/>
      <c r="H69" s="66"/>
      <c r="I69" s="66"/>
      <c r="J69" s="66"/>
      <c r="K69" s="66"/>
      <c r="L69" s="66">
        <f>D69-F69</f>
        <v>-26393</v>
      </c>
      <c r="M69" s="29"/>
      <c r="N69" s="6"/>
    </row>
    <row r="70" spans="1:15" ht="15.75">
      <c r="A70" s="28"/>
      <c r="B70" s="29" t="s">
        <v>44</v>
      </c>
      <c r="C70" s="66">
        <v>58798</v>
      </c>
      <c r="D70" s="68">
        <v>12306</v>
      </c>
      <c r="E70" s="66"/>
      <c r="F70" s="66">
        <f>SUM(F67:F69)</f>
        <v>38974</v>
      </c>
      <c r="G70" s="66"/>
      <c r="H70" s="66">
        <f>-H67</f>
        <v>-10497</v>
      </c>
      <c r="I70" s="66"/>
      <c r="J70" s="66"/>
      <c r="K70" s="66"/>
      <c r="L70" s="68">
        <f>D70+F70+H70+D73</f>
        <v>40783</v>
      </c>
      <c r="M70" s="29"/>
      <c r="N70" s="6"/>
      <c r="O70" s="72"/>
    </row>
    <row r="71" spans="1:14" ht="15.75">
      <c r="A71" s="28"/>
      <c r="B71" s="29" t="s">
        <v>45</v>
      </c>
      <c r="C71" s="66">
        <v>0</v>
      </c>
      <c r="D71" s="68">
        <v>0</v>
      </c>
      <c r="E71" s="66"/>
      <c r="F71" s="66"/>
      <c r="G71" s="66"/>
      <c r="H71" s="66">
        <v>0</v>
      </c>
      <c r="I71" s="66"/>
      <c r="J71" s="66"/>
      <c r="K71" s="66"/>
      <c r="L71" s="68">
        <f>H71+D71</f>
        <v>0</v>
      </c>
      <c r="M71" s="29"/>
      <c r="N71" s="6"/>
    </row>
    <row r="72" spans="1:14" ht="15.75">
      <c r="A72" s="28"/>
      <c r="B72" s="29" t="s">
        <v>46</v>
      </c>
      <c r="C72" s="66">
        <v>0</v>
      </c>
      <c r="D72" s="68">
        <v>0</v>
      </c>
      <c r="E72" s="66"/>
      <c r="F72" s="66">
        <v>0</v>
      </c>
      <c r="G72" s="66"/>
      <c r="H72" s="66"/>
      <c r="I72" s="66"/>
      <c r="J72" s="66"/>
      <c r="K72" s="66"/>
      <c r="L72" s="68">
        <f>D72+F72+H72</f>
        <v>0</v>
      </c>
      <c r="M72" s="29"/>
      <c r="N72" s="6"/>
    </row>
    <row r="73" spans="1:14" ht="15.75">
      <c r="A73" s="28"/>
      <c r="B73" s="29" t="s">
        <v>47</v>
      </c>
      <c r="C73" s="66">
        <v>0</v>
      </c>
      <c r="D73" s="68">
        <v>0</v>
      </c>
      <c r="E73" s="66"/>
      <c r="F73" s="66"/>
      <c r="G73" s="66"/>
      <c r="H73" s="71"/>
      <c r="I73" s="66"/>
      <c r="J73" s="66"/>
      <c r="K73" s="66"/>
      <c r="L73" s="68">
        <v>0</v>
      </c>
      <c r="M73" s="29"/>
      <c r="N73" s="6"/>
    </row>
    <row r="74" spans="1:14" ht="15.75">
      <c r="A74" s="28"/>
      <c r="B74" s="29" t="s">
        <v>19</v>
      </c>
      <c r="C74" s="68">
        <f>SUM(C67:C73)</f>
        <v>251000</v>
      </c>
      <c r="D74" s="68">
        <f>SUM(D67:D73)</f>
        <v>251000</v>
      </c>
      <c r="E74" s="66"/>
      <c r="F74" s="66">
        <f>F70-F73-F72</f>
        <v>38974</v>
      </c>
      <c r="G74" s="66"/>
      <c r="H74" s="66"/>
      <c r="I74" s="66"/>
      <c r="J74" s="66"/>
      <c r="K74" s="66"/>
      <c r="L74" s="68">
        <f>SUM(L67:L73)</f>
        <v>251000</v>
      </c>
      <c r="M74" s="29"/>
      <c r="N74" s="6"/>
    </row>
    <row r="75" spans="1:14" ht="15.75">
      <c r="A75" s="28"/>
      <c r="B75" s="66"/>
      <c r="C75" s="29"/>
      <c r="D75" s="29"/>
      <c r="E75" s="29"/>
      <c r="F75" s="29"/>
      <c r="G75" s="29"/>
      <c r="H75" s="29"/>
      <c r="I75" s="29"/>
      <c r="J75" s="36"/>
      <c r="K75" s="29"/>
      <c r="L75" s="36"/>
      <c r="M75" s="29"/>
      <c r="N75" s="6"/>
    </row>
    <row r="76" spans="1:14" ht="15.75">
      <c r="A76" s="7"/>
      <c r="B76" s="63" t="s">
        <v>48</v>
      </c>
      <c r="C76" s="16"/>
      <c r="D76" s="16"/>
      <c r="E76" s="16"/>
      <c r="F76" s="16"/>
      <c r="G76" s="16"/>
      <c r="H76" s="16"/>
      <c r="I76" s="19"/>
      <c r="J76" s="19"/>
      <c r="K76" s="19"/>
      <c r="L76" s="19" t="s">
        <v>190</v>
      </c>
      <c r="M76" s="16"/>
      <c r="N76" s="6"/>
    </row>
    <row r="77" spans="1:14" ht="15.75">
      <c r="A77" s="28"/>
      <c r="B77" s="29" t="s">
        <v>49</v>
      </c>
      <c r="C77" s="29"/>
      <c r="D77" s="29"/>
      <c r="E77" s="29"/>
      <c r="F77" s="29"/>
      <c r="G77" s="29"/>
      <c r="H77" s="29"/>
      <c r="I77" s="29"/>
      <c r="J77" s="66"/>
      <c r="K77" s="29"/>
      <c r="L77" s="67">
        <f>58009+35+3</f>
        <v>58047</v>
      </c>
      <c r="M77" s="29"/>
      <c r="N77" s="6"/>
    </row>
    <row r="78" spans="1:14" ht="15.75">
      <c r="A78" s="28"/>
      <c r="B78" s="29" t="s">
        <v>50</v>
      </c>
      <c r="C78" s="53"/>
      <c r="D78" s="57"/>
      <c r="E78" s="29"/>
      <c r="F78" s="29"/>
      <c r="G78" s="29"/>
      <c r="H78" s="29"/>
      <c r="I78" s="29"/>
      <c r="J78" s="66"/>
      <c r="K78" s="29"/>
      <c r="L78" s="67">
        <f>956+150</f>
        <v>1106</v>
      </c>
      <c r="M78" s="29"/>
      <c r="N78" s="6"/>
    </row>
    <row r="79" spans="1:14" ht="15.75">
      <c r="A79" s="28"/>
      <c r="B79" s="29" t="s">
        <v>51</v>
      </c>
      <c r="C79" s="53"/>
      <c r="D79" s="57"/>
      <c r="E79" s="29"/>
      <c r="F79" s="29"/>
      <c r="G79" s="29"/>
      <c r="H79" s="29"/>
      <c r="I79" s="29"/>
      <c r="J79" s="66"/>
      <c r="K79" s="29"/>
      <c r="L79" s="67">
        <v>-10793</v>
      </c>
      <c r="M79" s="29"/>
      <c r="N79" s="6"/>
    </row>
    <row r="80" spans="1:14" ht="15.75">
      <c r="A80" s="28"/>
      <c r="B80" s="29" t="s">
        <v>192</v>
      </c>
      <c r="C80" s="53"/>
      <c r="D80" s="57"/>
      <c r="E80" s="29"/>
      <c r="F80" s="29"/>
      <c r="G80" s="29"/>
      <c r="H80" s="29"/>
      <c r="I80" s="29"/>
      <c r="J80" s="66"/>
      <c r="K80" s="29"/>
      <c r="L80" s="67">
        <v>-27</v>
      </c>
      <c r="M80" s="29"/>
      <c r="N80" s="6"/>
    </row>
    <row r="81" spans="1:14" ht="15.75">
      <c r="A81" s="28"/>
      <c r="B81" s="29" t="s">
        <v>52</v>
      </c>
      <c r="C81" s="29"/>
      <c r="D81" s="29"/>
      <c r="E81" s="29"/>
      <c r="F81" s="29"/>
      <c r="G81" s="29"/>
      <c r="H81" s="29"/>
      <c r="I81" s="29"/>
      <c r="J81" s="66"/>
      <c r="K81" s="29"/>
      <c r="L81" s="67">
        <v>0</v>
      </c>
      <c r="M81" s="29"/>
      <c r="N81" s="6"/>
    </row>
    <row r="82" spans="1:14" ht="15.75">
      <c r="A82" s="28"/>
      <c r="B82" s="29" t="s">
        <v>53</v>
      </c>
      <c r="C82" s="29"/>
      <c r="D82" s="29"/>
      <c r="E82" s="29"/>
      <c r="F82" s="29"/>
      <c r="G82" s="29"/>
      <c r="H82" s="29"/>
      <c r="I82" s="29"/>
      <c r="J82" s="66"/>
      <c r="K82" s="29"/>
      <c r="L82" s="67">
        <f>SUM(L77:L81)</f>
        <v>48333</v>
      </c>
      <c r="M82" s="29"/>
      <c r="N82" s="6"/>
    </row>
    <row r="83" spans="1:14" ht="15.75">
      <c r="A83" s="28"/>
      <c r="B83" s="29"/>
      <c r="C83" s="29"/>
      <c r="D83" s="29"/>
      <c r="E83" s="29"/>
      <c r="F83" s="29"/>
      <c r="G83" s="29"/>
      <c r="H83" s="29"/>
      <c r="I83" s="29"/>
      <c r="J83" s="66"/>
      <c r="K83" s="29"/>
      <c r="L83" s="68"/>
      <c r="M83" s="29"/>
      <c r="N83" s="6"/>
    </row>
    <row r="84" spans="1:14" ht="15.75">
      <c r="A84" s="28"/>
      <c r="B84" s="164" t="s">
        <v>54</v>
      </c>
      <c r="C84" s="73"/>
      <c r="D84" s="29"/>
      <c r="E84" s="29"/>
      <c r="F84" s="29"/>
      <c r="G84" s="29"/>
      <c r="H84" s="29"/>
      <c r="I84" s="29"/>
      <c r="J84" s="66"/>
      <c r="K84" s="29"/>
      <c r="L84" s="67"/>
      <c r="M84" s="29"/>
      <c r="N84" s="6"/>
    </row>
    <row r="85" spans="1:14" ht="15.75">
      <c r="A85" s="28">
        <v>1</v>
      </c>
      <c r="B85" s="29" t="s">
        <v>55</v>
      </c>
      <c r="C85" s="29"/>
      <c r="D85" s="29"/>
      <c r="E85" s="29"/>
      <c r="F85" s="29"/>
      <c r="G85" s="29"/>
      <c r="H85" s="29"/>
      <c r="I85" s="29"/>
      <c r="J85" s="29"/>
      <c r="K85" s="29"/>
      <c r="L85" s="67">
        <v>-4</v>
      </c>
      <c r="M85" s="29"/>
      <c r="N85" s="6"/>
    </row>
    <row r="86" spans="1:14" ht="15.75">
      <c r="A86" s="28">
        <f aca="true" t="shared" si="0" ref="A86:A94">A85+1</f>
        <v>2</v>
      </c>
      <c r="B86" s="29" t="s">
        <v>56</v>
      </c>
      <c r="C86" s="29"/>
      <c r="D86" s="29"/>
      <c r="E86" s="29"/>
      <c r="F86" s="29"/>
      <c r="G86" s="29"/>
      <c r="H86" s="29"/>
      <c r="I86" s="29"/>
      <c r="J86" s="29"/>
      <c r="K86" s="29"/>
      <c r="L86" s="67">
        <f>-566-73</f>
        <v>-639</v>
      </c>
      <c r="M86" s="29"/>
      <c r="N86" s="6"/>
    </row>
    <row r="87" spans="1:14" ht="15.75">
      <c r="A87" s="28">
        <f t="shared" si="0"/>
        <v>3</v>
      </c>
      <c r="B87" s="29" t="s">
        <v>57</v>
      </c>
      <c r="C87" s="29"/>
      <c r="D87" s="29"/>
      <c r="E87" s="29"/>
      <c r="F87" s="29"/>
      <c r="G87" s="29"/>
      <c r="H87" s="29"/>
      <c r="I87" s="29"/>
      <c r="J87" s="29"/>
      <c r="K87" s="29"/>
      <c r="L87" s="67">
        <v>-413</v>
      </c>
      <c r="M87" s="29"/>
      <c r="N87" s="6"/>
    </row>
    <row r="88" spans="1:14" ht="15.75">
      <c r="A88" s="28">
        <f t="shared" si="0"/>
        <v>4</v>
      </c>
      <c r="B88" s="29" t="s">
        <v>58</v>
      </c>
      <c r="C88" s="29"/>
      <c r="D88" s="29"/>
      <c r="E88" s="29"/>
      <c r="F88" s="29"/>
      <c r="G88" s="29"/>
      <c r="H88" s="29"/>
      <c r="I88" s="29"/>
      <c r="J88" s="29"/>
      <c r="K88" s="29"/>
      <c r="L88" s="67">
        <v>-1748</v>
      </c>
      <c r="M88" s="29"/>
      <c r="N88" s="6"/>
    </row>
    <row r="89" spans="1:14" ht="15.75">
      <c r="A89" s="28">
        <f t="shared" si="0"/>
        <v>5</v>
      </c>
      <c r="B89" s="29" t="s">
        <v>59</v>
      </c>
      <c r="C89" s="29"/>
      <c r="D89" s="29"/>
      <c r="E89" s="29"/>
      <c r="F89" s="29"/>
      <c r="G89" s="29"/>
      <c r="H89" s="29"/>
      <c r="I89" s="29"/>
      <c r="J89" s="29"/>
      <c r="K89" s="29"/>
      <c r="L89" s="67">
        <v>-5</v>
      </c>
      <c r="M89" s="29"/>
      <c r="N89" s="6"/>
    </row>
    <row r="90" spans="1:14" ht="15.75">
      <c r="A90" s="28">
        <f t="shared" si="0"/>
        <v>6</v>
      </c>
      <c r="B90" s="29" t="s">
        <v>60</v>
      </c>
      <c r="C90" s="29"/>
      <c r="D90" s="29"/>
      <c r="E90" s="29"/>
      <c r="F90" s="29"/>
      <c r="G90" s="29"/>
      <c r="H90" s="29"/>
      <c r="I90" s="29"/>
      <c r="J90" s="29"/>
      <c r="K90" s="29"/>
      <c r="L90" s="67">
        <v>-576</v>
      </c>
      <c r="M90" s="29"/>
      <c r="N90" s="6"/>
    </row>
    <row r="91" spans="1:14" ht="15.75">
      <c r="A91" s="28">
        <f t="shared" si="0"/>
        <v>7</v>
      </c>
      <c r="B91" s="29" t="s">
        <v>61</v>
      </c>
      <c r="C91" s="29"/>
      <c r="D91" s="29"/>
      <c r="E91" s="29"/>
      <c r="F91" s="29"/>
      <c r="G91" s="29"/>
      <c r="H91" s="29"/>
      <c r="I91" s="29"/>
      <c r="J91" s="29"/>
      <c r="K91" s="29"/>
      <c r="L91" s="67">
        <v>-314</v>
      </c>
      <c r="M91" s="29"/>
      <c r="N91" s="6"/>
    </row>
    <row r="92" spans="1:14" ht="15.75">
      <c r="A92" s="28">
        <f t="shared" si="0"/>
        <v>8</v>
      </c>
      <c r="B92" s="29" t="s">
        <v>62</v>
      </c>
      <c r="C92" s="29"/>
      <c r="D92" s="29"/>
      <c r="E92" s="29"/>
      <c r="F92" s="29"/>
      <c r="G92" s="29"/>
      <c r="H92" s="29"/>
      <c r="I92" s="29"/>
      <c r="J92" s="29"/>
      <c r="K92" s="29"/>
      <c r="L92" s="67">
        <v>0</v>
      </c>
      <c r="M92" s="29"/>
      <c r="N92" s="6"/>
    </row>
    <row r="93" spans="1:14" ht="15.75">
      <c r="A93" s="28">
        <f t="shared" si="0"/>
        <v>9</v>
      </c>
      <c r="B93" s="29" t="s">
        <v>44</v>
      </c>
      <c r="C93" s="29"/>
      <c r="D93" s="29"/>
      <c r="E93" s="29"/>
      <c r="F93" s="29"/>
      <c r="G93" s="29"/>
      <c r="H93" s="29"/>
      <c r="I93" s="29"/>
      <c r="J93" s="66"/>
      <c r="K93" s="29"/>
      <c r="L93" s="67">
        <f>L82+SUM(L85:L91)-L94</f>
        <v>40782</v>
      </c>
      <c r="M93" s="29"/>
      <c r="N93" s="6"/>
    </row>
    <row r="94" spans="1:15" ht="15.75">
      <c r="A94" s="28">
        <f t="shared" si="0"/>
        <v>10</v>
      </c>
      <c r="B94" s="29" t="s">
        <v>63</v>
      </c>
      <c r="C94" s="29"/>
      <c r="D94" s="29"/>
      <c r="E94" s="29"/>
      <c r="F94" s="29"/>
      <c r="G94" s="29"/>
      <c r="H94" s="29"/>
      <c r="I94" s="29"/>
      <c r="J94" s="29"/>
      <c r="K94" s="29"/>
      <c r="L94" s="67">
        <f>J195+SUM(L82:L91)+J197-J200</f>
        <v>3852</v>
      </c>
      <c r="M94" s="29"/>
      <c r="N94" s="6"/>
      <c r="O94" s="72"/>
    </row>
    <row r="95" spans="1:14" ht="15.75">
      <c r="A95" s="28"/>
      <c r="B95" s="32"/>
      <c r="C95" s="29"/>
      <c r="D95" s="29"/>
      <c r="E95" s="29"/>
      <c r="F95" s="29"/>
      <c r="G95" s="29"/>
      <c r="H95" s="29"/>
      <c r="I95" s="29"/>
      <c r="J95" s="66"/>
      <c r="K95" s="66"/>
      <c r="L95" s="66"/>
      <c r="M95" s="29"/>
      <c r="N95" s="6"/>
    </row>
    <row r="96" spans="1:14" ht="15.75">
      <c r="A96" s="7"/>
      <c r="B96" s="14"/>
      <c r="C96" s="9"/>
      <c r="D96" s="9"/>
      <c r="E96" s="9"/>
      <c r="F96" s="9"/>
      <c r="G96" s="9"/>
      <c r="H96" s="9"/>
      <c r="I96" s="9"/>
      <c r="J96" s="74"/>
      <c r="K96" s="74"/>
      <c r="L96" s="74"/>
      <c r="M96" s="9"/>
      <c r="N96" s="6"/>
    </row>
    <row r="97" spans="1:14" ht="16.5" thickBot="1">
      <c r="A97" s="144"/>
      <c r="B97" s="145" t="str">
        <f>B50</f>
        <v>PPAF1 INVESTOR REPORT QUARTER ENDING MAY 2003</v>
      </c>
      <c r="C97" s="146"/>
      <c r="D97" s="146"/>
      <c r="E97" s="146"/>
      <c r="F97" s="146"/>
      <c r="G97" s="146"/>
      <c r="H97" s="146"/>
      <c r="I97" s="146"/>
      <c r="J97" s="149"/>
      <c r="K97" s="149"/>
      <c r="L97" s="149"/>
      <c r="M97" s="148"/>
      <c r="N97" s="6"/>
    </row>
    <row r="98" spans="1:14" ht="15.75">
      <c r="A98" s="2"/>
      <c r="B98" s="5"/>
      <c r="C98" s="5"/>
      <c r="D98" s="5"/>
      <c r="E98" s="5"/>
      <c r="F98" s="5"/>
      <c r="G98" s="5"/>
      <c r="H98" s="5"/>
      <c r="I98" s="5"/>
      <c r="J98" s="75"/>
      <c r="K98" s="75"/>
      <c r="L98" s="75"/>
      <c r="M98" s="5"/>
      <c r="N98" s="6"/>
    </row>
    <row r="99" spans="1:14" ht="15.75">
      <c r="A99" s="76"/>
      <c r="B99" s="77" t="s">
        <v>64</v>
      </c>
      <c r="C99" s="78"/>
      <c r="D99" s="78"/>
      <c r="E99" s="78"/>
      <c r="F99" s="78"/>
      <c r="G99" s="78"/>
      <c r="H99" s="78"/>
      <c r="I99" s="78"/>
      <c r="J99" s="78"/>
      <c r="K99" s="78"/>
      <c r="L99" s="79"/>
      <c r="M99" s="80"/>
      <c r="N99" s="6"/>
    </row>
    <row r="100" spans="1:14" ht="15.75">
      <c r="A100" s="76"/>
      <c r="B100" s="78"/>
      <c r="C100" s="78"/>
      <c r="D100" s="78"/>
      <c r="E100" s="78"/>
      <c r="F100" s="78"/>
      <c r="G100" s="78"/>
      <c r="H100" s="78"/>
      <c r="I100" s="78"/>
      <c r="J100" s="78"/>
      <c r="K100" s="78"/>
      <c r="L100" s="79"/>
      <c r="M100" s="78"/>
      <c r="N100" s="6"/>
    </row>
    <row r="101" spans="1:14" ht="15.75">
      <c r="A101" s="7"/>
      <c r="B101" s="165" t="s">
        <v>65</v>
      </c>
      <c r="C101" s="15"/>
      <c r="D101" s="9"/>
      <c r="E101" s="9"/>
      <c r="F101" s="9"/>
      <c r="G101" s="9"/>
      <c r="H101" s="9"/>
      <c r="I101" s="9"/>
      <c r="J101" s="9"/>
      <c r="K101" s="9"/>
      <c r="L101" s="64"/>
      <c r="M101" s="9"/>
      <c r="N101" s="6"/>
    </row>
    <row r="102" spans="1:14" ht="15.75">
      <c r="A102" s="28"/>
      <c r="B102" s="29" t="s">
        <v>66</v>
      </c>
      <c r="C102" s="29"/>
      <c r="D102" s="29"/>
      <c r="E102" s="29"/>
      <c r="F102" s="29"/>
      <c r="G102" s="29"/>
      <c r="H102" s="29"/>
      <c r="I102" s="29"/>
      <c r="J102" s="29"/>
      <c r="K102" s="29"/>
      <c r="L102" s="67">
        <f>10793+400</f>
        <v>11193</v>
      </c>
      <c r="M102" s="29"/>
      <c r="N102" s="6"/>
    </row>
    <row r="103" spans="1:14" ht="15.75">
      <c r="A103" s="28"/>
      <c r="B103" s="29" t="s">
        <v>67</v>
      </c>
      <c r="C103" s="29"/>
      <c r="D103" s="29"/>
      <c r="E103" s="29"/>
      <c r="F103" s="29"/>
      <c r="G103" s="29"/>
      <c r="H103" s="29"/>
      <c r="I103" s="29"/>
      <c r="J103" s="29"/>
      <c r="K103" s="29"/>
      <c r="L103" s="67">
        <v>10793</v>
      </c>
      <c r="M103" s="29"/>
      <c r="N103" s="6"/>
    </row>
    <row r="104" spans="1:14" ht="15.75">
      <c r="A104" s="28"/>
      <c r="B104" s="29" t="s">
        <v>68</v>
      </c>
      <c r="C104" s="29"/>
      <c r="D104" s="29"/>
      <c r="E104" s="29"/>
      <c r="F104" s="29"/>
      <c r="G104" s="29"/>
      <c r="H104" s="29"/>
      <c r="I104" s="29"/>
      <c r="J104" s="29"/>
      <c r="K104" s="29"/>
      <c r="L104" s="67">
        <v>0</v>
      </c>
      <c r="M104" s="29"/>
      <c r="N104" s="6"/>
    </row>
    <row r="105" spans="1:14" ht="15.75">
      <c r="A105" s="28"/>
      <c r="B105" s="29" t="s">
        <v>69</v>
      </c>
      <c r="C105" s="29"/>
      <c r="D105" s="29"/>
      <c r="E105" s="29"/>
      <c r="F105" s="29"/>
      <c r="G105" s="29"/>
      <c r="H105" s="29"/>
      <c r="I105" s="29"/>
      <c r="J105" s="29"/>
      <c r="K105" s="29"/>
      <c r="L105" s="67">
        <v>0</v>
      </c>
      <c r="M105" s="29"/>
      <c r="N105" s="6"/>
    </row>
    <row r="106" spans="1:14" ht="15.75">
      <c r="A106" s="28"/>
      <c r="B106" s="29" t="s">
        <v>70</v>
      </c>
      <c r="C106" s="29"/>
      <c r="D106" s="29"/>
      <c r="E106" s="29"/>
      <c r="F106" s="29"/>
      <c r="G106" s="29"/>
      <c r="H106" s="29"/>
      <c r="I106" s="29"/>
      <c r="J106" s="29"/>
      <c r="K106" s="29"/>
      <c r="L106" s="67">
        <v>0</v>
      </c>
      <c r="M106" s="29"/>
      <c r="N106" s="6"/>
    </row>
    <row r="107" spans="1:14" ht="15.75">
      <c r="A107" s="28"/>
      <c r="B107" s="29" t="s">
        <v>58</v>
      </c>
      <c r="C107" s="29"/>
      <c r="D107" s="29"/>
      <c r="E107" s="29"/>
      <c r="F107" s="29"/>
      <c r="G107" s="29"/>
      <c r="H107" s="29"/>
      <c r="I107" s="29"/>
      <c r="J107" s="29"/>
      <c r="K107" s="29"/>
      <c r="L107" s="67">
        <v>0</v>
      </c>
      <c r="M107" s="29"/>
      <c r="N107" s="6"/>
    </row>
    <row r="108" spans="1:14" ht="15.75">
      <c r="A108" s="28"/>
      <c r="B108" s="29" t="s">
        <v>60</v>
      </c>
      <c r="C108" s="29"/>
      <c r="D108" s="29"/>
      <c r="E108" s="29"/>
      <c r="F108" s="29"/>
      <c r="G108" s="29"/>
      <c r="H108" s="29"/>
      <c r="I108" s="29"/>
      <c r="J108" s="29"/>
      <c r="K108" s="29"/>
      <c r="L108" s="67">
        <v>0</v>
      </c>
      <c r="M108" s="29"/>
      <c r="N108" s="6"/>
    </row>
    <row r="109" spans="1:14" ht="15.75">
      <c r="A109" s="28"/>
      <c r="B109" s="29" t="s">
        <v>61</v>
      </c>
      <c r="C109" s="29"/>
      <c r="D109" s="29"/>
      <c r="E109" s="29"/>
      <c r="F109" s="29"/>
      <c r="G109" s="29"/>
      <c r="H109" s="29"/>
      <c r="I109" s="29"/>
      <c r="J109" s="29"/>
      <c r="K109" s="29"/>
      <c r="L109" s="67">
        <v>0</v>
      </c>
      <c r="M109" s="29"/>
      <c r="N109" s="6"/>
    </row>
    <row r="110" spans="1:14" ht="15.75">
      <c r="A110" s="28"/>
      <c r="B110" s="29" t="s">
        <v>71</v>
      </c>
      <c r="C110" s="29"/>
      <c r="D110" s="29"/>
      <c r="E110" s="29"/>
      <c r="F110" s="29"/>
      <c r="G110" s="29"/>
      <c r="H110" s="29"/>
      <c r="I110" s="29"/>
      <c r="J110" s="29"/>
      <c r="K110" s="29"/>
      <c r="L110" s="67">
        <f>L103</f>
        <v>10793</v>
      </c>
      <c r="M110" s="29"/>
      <c r="N110" s="6"/>
    </row>
    <row r="111" spans="1:14" ht="15.75">
      <c r="A111" s="28"/>
      <c r="B111" s="29"/>
      <c r="C111" s="29"/>
      <c r="D111" s="29"/>
      <c r="E111" s="29"/>
      <c r="F111" s="29"/>
      <c r="G111" s="29"/>
      <c r="H111" s="29"/>
      <c r="I111" s="29"/>
      <c r="J111" s="29"/>
      <c r="K111" s="29"/>
      <c r="L111" s="81"/>
      <c r="M111" s="29"/>
      <c r="N111" s="6"/>
    </row>
    <row r="112" spans="1:14" ht="15.75">
      <c r="A112" s="7"/>
      <c r="B112" s="165" t="s">
        <v>72</v>
      </c>
      <c r="C112" s="15"/>
      <c r="D112" s="9"/>
      <c r="E112" s="9"/>
      <c r="F112" s="9"/>
      <c r="G112" s="82"/>
      <c r="H112" s="9"/>
      <c r="I112" s="9"/>
      <c r="J112" s="9"/>
      <c r="K112" s="9"/>
      <c r="L112" s="83"/>
      <c r="M112" s="9"/>
      <c r="N112" s="6"/>
    </row>
    <row r="113" spans="1:14" ht="15.75">
      <c r="A113" s="7"/>
      <c r="B113" s="15"/>
      <c r="C113" s="19" t="s">
        <v>140</v>
      </c>
      <c r="D113" s="19" t="s">
        <v>150</v>
      </c>
      <c r="E113" s="19" t="s">
        <v>156</v>
      </c>
      <c r="F113" s="19" t="s">
        <v>165</v>
      </c>
      <c r="G113" s="82"/>
      <c r="H113" s="82"/>
      <c r="I113" s="9"/>
      <c r="J113" s="9"/>
      <c r="K113" s="9"/>
      <c r="L113" s="83"/>
      <c r="M113" s="9"/>
      <c r="N113" s="6"/>
    </row>
    <row r="114" spans="1:14" ht="15.75">
      <c r="A114" s="28"/>
      <c r="B114" s="29" t="s">
        <v>73</v>
      </c>
      <c r="C114" s="66">
        <f>E178-'Feb 03'!E178</f>
        <v>505</v>
      </c>
      <c r="D114" s="66">
        <f>J178-'Feb 03'!J178</f>
        <v>363</v>
      </c>
      <c r="E114" s="66">
        <f>E188-'Feb 03'!E188</f>
        <v>11</v>
      </c>
      <c r="F114" s="66">
        <f>J188-'Feb 03'!J188</f>
        <v>35</v>
      </c>
      <c r="G114" s="84"/>
      <c r="H114" s="84"/>
      <c r="I114" s="29"/>
      <c r="J114" s="29"/>
      <c r="K114" s="29"/>
      <c r="L114" s="67">
        <f>SUM(C114:F114)</f>
        <v>914</v>
      </c>
      <c r="M114" s="29"/>
      <c r="N114" s="6"/>
    </row>
    <row r="115" spans="1:14" ht="15.75">
      <c r="A115" s="28"/>
      <c r="B115" s="29" t="s">
        <v>74</v>
      </c>
      <c r="C115" s="29">
        <f>8+65+16+126-2</f>
        <v>213</v>
      </c>
      <c r="D115" s="29">
        <f>26+65</f>
        <v>91</v>
      </c>
      <c r="E115" s="29">
        <v>152</v>
      </c>
      <c r="F115" s="29">
        <f>133+141</f>
        <v>274</v>
      </c>
      <c r="G115" s="84"/>
      <c r="H115" s="84"/>
      <c r="I115" s="29"/>
      <c r="J115" s="29"/>
      <c r="K115" s="29"/>
      <c r="L115" s="67">
        <f>SUM(C115:F115)</f>
        <v>730</v>
      </c>
      <c r="M115" s="29"/>
      <c r="N115" s="6"/>
    </row>
    <row r="116" spans="1:14" ht="15.75">
      <c r="A116" s="28"/>
      <c r="B116" s="29" t="s">
        <v>75</v>
      </c>
      <c r="C116" s="29"/>
      <c r="D116" s="29"/>
      <c r="E116" s="29"/>
      <c r="F116" s="29"/>
      <c r="G116" s="29"/>
      <c r="H116" s="29"/>
      <c r="I116" s="29"/>
      <c r="J116" s="29"/>
      <c r="K116" s="29"/>
      <c r="L116" s="67">
        <f>SUM(L114:L115)</f>
        <v>1644</v>
      </c>
      <c r="M116" s="29"/>
      <c r="N116" s="6"/>
    </row>
    <row r="117" spans="1:14" ht="15.75">
      <c r="A117" s="28"/>
      <c r="B117" s="29" t="s">
        <v>76</v>
      </c>
      <c r="C117" s="66">
        <f>2+146</f>
        <v>148</v>
      </c>
      <c r="D117" s="29"/>
      <c r="E117" s="29"/>
      <c r="F117" s="29"/>
      <c r="G117" s="29"/>
      <c r="H117" s="29"/>
      <c r="I117" s="29"/>
      <c r="J117" s="29"/>
      <c r="K117" s="29"/>
      <c r="L117" s="85"/>
      <c r="M117" s="29"/>
      <c r="N117" s="6"/>
    </row>
    <row r="118" spans="1:14" ht="15.75">
      <c r="A118" s="7"/>
      <c r="B118" s="165" t="s">
        <v>77</v>
      </c>
      <c r="C118" s="15"/>
      <c r="D118" s="9"/>
      <c r="E118" s="9"/>
      <c r="F118" s="9"/>
      <c r="G118" s="9"/>
      <c r="H118" s="9"/>
      <c r="I118" s="9"/>
      <c r="J118" s="9"/>
      <c r="K118" s="9"/>
      <c r="L118" s="64"/>
      <c r="M118" s="9"/>
      <c r="N118" s="6"/>
    </row>
    <row r="119" spans="1:14" ht="15.75">
      <c r="A119" s="28"/>
      <c r="B119" s="29" t="s">
        <v>78</v>
      </c>
      <c r="C119" s="143"/>
      <c r="D119" s="143"/>
      <c r="E119" s="143"/>
      <c r="F119" s="143"/>
      <c r="G119" s="29"/>
      <c r="H119" s="29"/>
      <c r="I119" s="29"/>
      <c r="J119" s="29"/>
      <c r="K119" s="29"/>
      <c r="L119" s="67">
        <f>L67</f>
        <v>236610</v>
      </c>
      <c r="M119" s="29"/>
      <c r="N119" s="6"/>
    </row>
    <row r="120" spans="1:14" ht="15.75">
      <c r="A120" s="28"/>
      <c r="B120" s="29" t="s">
        <v>79</v>
      </c>
      <c r="C120" s="86"/>
      <c r="D120" s="29"/>
      <c r="E120" s="29"/>
      <c r="F120" s="29"/>
      <c r="G120" s="29"/>
      <c r="H120" s="29"/>
      <c r="I120" s="29"/>
      <c r="J120" s="29"/>
      <c r="K120" s="29"/>
      <c r="L120" s="67">
        <f>L70</f>
        <v>40783</v>
      </c>
      <c r="M120" s="29"/>
      <c r="N120" s="6"/>
    </row>
    <row r="121" spans="1:15" ht="15.75">
      <c r="A121" s="28"/>
      <c r="B121" s="29" t="s">
        <v>80</v>
      </c>
      <c r="C121" s="86"/>
      <c r="D121" s="29"/>
      <c r="E121" s="29"/>
      <c r="F121" s="29"/>
      <c r="G121" s="29"/>
      <c r="H121" s="29"/>
      <c r="I121" s="29"/>
      <c r="J121" s="29"/>
      <c r="K121" s="29"/>
      <c r="L121" s="67">
        <f>L120+L119+L72+L73</f>
        <v>277393</v>
      </c>
      <c r="M121" s="29"/>
      <c r="N121" s="6"/>
      <c r="O121" s="72"/>
    </row>
    <row r="122" spans="1:15" ht="15.75">
      <c r="A122" s="28"/>
      <c r="B122" s="29" t="s">
        <v>81</v>
      </c>
      <c r="C122" s="86"/>
      <c r="D122" s="29"/>
      <c r="E122" s="29"/>
      <c r="F122" s="29"/>
      <c r="G122" s="29"/>
      <c r="H122" s="29"/>
      <c r="I122" s="29"/>
      <c r="J122" s="29"/>
      <c r="K122" s="29"/>
      <c r="L122" s="67">
        <f>L74</f>
        <v>251000</v>
      </c>
      <c r="M122" s="29"/>
      <c r="N122" s="6"/>
      <c r="O122" s="72"/>
    </row>
    <row r="123" spans="1:14" ht="15.75">
      <c r="A123" s="28"/>
      <c r="B123" s="29"/>
      <c r="C123" s="29"/>
      <c r="D123" s="29"/>
      <c r="E123" s="29"/>
      <c r="F123" s="29"/>
      <c r="G123" s="29"/>
      <c r="H123" s="29"/>
      <c r="I123" s="29"/>
      <c r="J123" s="29"/>
      <c r="K123" s="29"/>
      <c r="L123" s="85"/>
      <c r="M123" s="29"/>
      <c r="N123" s="6"/>
    </row>
    <row r="124" spans="1:14" ht="15.75">
      <c r="A124" s="7"/>
      <c r="B124" s="165" t="s">
        <v>82</v>
      </c>
      <c r="C124" s="158"/>
      <c r="D124" s="158"/>
      <c r="E124" s="158"/>
      <c r="F124" s="158"/>
      <c r="G124" s="158"/>
      <c r="H124" s="159" t="s">
        <v>176</v>
      </c>
      <c r="I124" s="166"/>
      <c r="J124" s="159" t="s">
        <v>179</v>
      </c>
      <c r="K124" s="158"/>
      <c r="L124" s="167" t="s">
        <v>131</v>
      </c>
      <c r="M124" s="9"/>
      <c r="N124" s="6"/>
    </row>
    <row r="125" spans="1:14" ht="15.75">
      <c r="A125" s="28"/>
      <c r="B125" s="29" t="s">
        <v>83</v>
      </c>
      <c r="C125" s="29"/>
      <c r="D125" s="29"/>
      <c r="E125" s="29"/>
      <c r="F125" s="29"/>
      <c r="G125" s="29"/>
      <c r="H125" s="67">
        <v>0</v>
      </c>
      <c r="I125" s="29"/>
      <c r="J125" s="89" t="s">
        <v>180</v>
      </c>
      <c r="K125" s="29"/>
      <c r="L125" s="67">
        <f>H125</f>
        <v>0</v>
      </c>
      <c r="M125" s="29"/>
      <c r="N125" s="6"/>
    </row>
    <row r="126" spans="1:14" ht="15.75">
      <c r="A126" s="28"/>
      <c r="B126" s="29" t="s">
        <v>84</v>
      </c>
      <c r="C126" s="29"/>
      <c r="D126" s="29"/>
      <c r="E126" s="29"/>
      <c r="F126" s="29"/>
      <c r="G126" s="29"/>
      <c r="H126" s="67">
        <v>0</v>
      </c>
      <c r="I126" s="29"/>
      <c r="J126" s="89" t="s">
        <v>180</v>
      </c>
      <c r="K126" s="29"/>
      <c r="L126" s="67">
        <f>H126</f>
        <v>0</v>
      </c>
      <c r="M126" s="29"/>
      <c r="N126" s="6"/>
    </row>
    <row r="127" spans="1:14" ht="15.75">
      <c r="A127" s="28"/>
      <c r="B127" s="29" t="s">
        <v>85</v>
      </c>
      <c r="C127" s="29"/>
      <c r="D127" s="29"/>
      <c r="E127" s="29"/>
      <c r="F127" s="29"/>
      <c r="G127" s="29"/>
      <c r="H127" s="67">
        <v>0</v>
      </c>
      <c r="I127" s="29"/>
      <c r="J127" s="89" t="s">
        <v>180</v>
      </c>
      <c r="K127" s="29"/>
      <c r="L127" s="67">
        <f>H127</f>
        <v>0</v>
      </c>
      <c r="M127" s="29"/>
      <c r="N127" s="6"/>
    </row>
    <row r="128" spans="1:14" ht="15.75">
      <c r="A128" s="28"/>
      <c r="B128" s="29" t="s">
        <v>86</v>
      </c>
      <c r="C128" s="29"/>
      <c r="D128" s="29"/>
      <c r="E128" s="29"/>
      <c r="F128" s="29"/>
      <c r="G128" s="29"/>
      <c r="H128" s="67">
        <f>SUM(H126:H127)</f>
        <v>0</v>
      </c>
      <c r="I128" s="29"/>
      <c r="J128" s="89" t="s">
        <v>180</v>
      </c>
      <c r="K128" s="29"/>
      <c r="L128" s="67">
        <f>H128</f>
        <v>0</v>
      </c>
      <c r="M128" s="29"/>
      <c r="N128" s="6"/>
    </row>
    <row r="129" spans="1:14" ht="15.75">
      <c r="A129" s="28"/>
      <c r="B129" s="29" t="s">
        <v>87</v>
      </c>
      <c r="C129" s="29"/>
      <c r="D129" s="29"/>
      <c r="E129" s="29"/>
      <c r="F129" s="29"/>
      <c r="G129" s="29"/>
      <c r="H129" s="67">
        <f>H125-H128</f>
        <v>0</v>
      </c>
      <c r="I129" s="29"/>
      <c r="J129" s="89" t="s">
        <v>180</v>
      </c>
      <c r="K129" s="29"/>
      <c r="L129" s="67">
        <f>H129</f>
        <v>0</v>
      </c>
      <c r="M129" s="29"/>
      <c r="N129" s="6"/>
    </row>
    <row r="130" spans="1:14" ht="15.75">
      <c r="A130" s="28"/>
      <c r="B130" s="29"/>
      <c r="C130" s="29"/>
      <c r="D130" s="29"/>
      <c r="E130" s="29"/>
      <c r="F130" s="29"/>
      <c r="G130" s="29"/>
      <c r="H130" s="29"/>
      <c r="I130" s="29"/>
      <c r="J130" s="29"/>
      <c r="K130" s="29"/>
      <c r="L130" s="29"/>
      <c r="M130" s="29"/>
      <c r="N130" s="6"/>
    </row>
    <row r="131" spans="1:14" ht="15.75">
      <c r="A131" s="28"/>
      <c r="B131" s="32"/>
      <c r="C131" s="32"/>
      <c r="D131" s="32"/>
      <c r="E131" s="32"/>
      <c r="F131" s="32"/>
      <c r="G131" s="32"/>
      <c r="H131" s="32"/>
      <c r="I131" s="32"/>
      <c r="J131" s="32"/>
      <c r="K131" s="32"/>
      <c r="L131" s="32"/>
      <c r="M131" s="32"/>
      <c r="N131" s="6"/>
    </row>
    <row r="132" spans="1:14" ht="15.75">
      <c r="A132" s="90"/>
      <c r="B132" s="63" t="s">
        <v>88</v>
      </c>
      <c r="C132" s="91"/>
      <c r="D132" s="91"/>
      <c r="E132" s="91"/>
      <c r="F132" s="91"/>
      <c r="G132" s="21"/>
      <c r="H132" s="21"/>
      <c r="I132" s="21"/>
      <c r="J132" s="21">
        <v>37771</v>
      </c>
      <c r="K132" s="17"/>
      <c r="L132" s="17"/>
      <c r="M132" s="9"/>
      <c r="N132" s="6"/>
    </row>
    <row r="133" spans="1:14" ht="15.75">
      <c r="A133" s="92"/>
      <c r="B133" s="93" t="s">
        <v>89</v>
      </c>
      <c r="C133" s="94"/>
      <c r="D133" s="94"/>
      <c r="E133" s="94"/>
      <c r="F133" s="94"/>
      <c r="G133" s="95"/>
      <c r="H133" s="95"/>
      <c r="I133" s="95"/>
      <c r="J133" s="96">
        <v>0.1226</v>
      </c>
      <c r="K133" s="29"/>
      <c r="L133" s="29"/>
      <c r="M133" s="29"/>
      <c r="N133" s="6"/>
    </row>
    <row r="134" spans="1:14" ht="15.75">
      <c r="A134" s="92"/>
      <c r="B134" s="93" t="s">
        <v>90</v>
      </c>
      <c r="C134" s="94"/>
      <c r="D134" s="94"/>
      <c r="E134" s="94"/>
      <c r="F134" s="94"/>
      <c r="G134" s="95"/>
      <c r="H134" s="95"/>
      <c r="I134" s="95"/>
      <c r="J134" s="96">
        <v>0.0582</v>
      </c>
      <c r="K134" s="96"/>
      <c r="L134" s="29"/>
      <c r="M134" s="29"/>
      <c r="N134" s="6"/>
    </row>
    <row r="135" spans="1:14" ht="15.75">
      <c r="A135" s="92"/>
      <c r="B135" s="93" t="s">
        <v>91</v>
      </c>
      <c r="C135" s="94"/>
      <c r="D135" s="94"/>
      <c r="E135" s="94"/>
      <c r="F135" s="94"/>
      <c r="G135" s="95"/>
      <c r="H135" s="95"/>
      <c r="I135" s="95"/>
      <c r="J135" s="96">
        <f>J133-J134</f>
        <v>0.0644</v>
      </c>
      <c r="K135" s="29"/>
      <c r="L135" s="29"/>
      <c r="M135" s="29"/>
      <c r="N135" s="6"/>
    </row>
    <row r="136" spans="1:14" ht="15.75">
      <c r="A136" s="92"/>
      <c r="B136" s="93" t="s">
        <v>92</v>
      </c>
      <c r="C136" s="94"/>
      <c r="D136" s="94"/>
      <c r="E136" s="94"/>
      <c r="F136" s="94"/>
      <c r="G136" s="95"/>
      <c r="H136" s="95"/>
      <c r="I136" s="95"/>
      <c r="J136" s="96">
        <v>0.1191</v>
      </c>
      <c r="K136" s="29"/>
      <c r="L136" s="29"/>
      <c r="M136" s="29"/>
      <c r="N136" s="6"/>
    </row>
    <row r="137" spans="1:14" ht="15.75">
      <c r="A137" s="92"/>
      <c r="B137" s="93" t="s">
        <v>93</v>
      </c>
      <c r="C137" s="94"/>
      <c r="D137" s="94"/>
      <c r="E137" s="94"/>
      <c r="F137" s="94"/>
      <c r="G137" s="95"/>
      <c r="H137" s="95"/>
      <c r="I137" s="95"/>
      <c r="J137" s="96">
        <f>L32</f>
        <v>0.04215177888446215</v>
      </c>
      <c r="K137" s="29"/>
      <c r="L137" s="29"/>
      <c r="M137" s="29"/>
      <c r="N137" s="6"/>
    </row>
    <row r="138" spans="1:14" ht="15.75">
      <c r="A138" s="92"/>
      <c r="B138" s="93" t="s">
        <v>94</v>
      </c>
      <c r="C138" s="94"/>
      <c r="D138" s="94"/>
      <c r="E138" s="94"/>
      <c r="F138" s="94"/>
      <c r="G138" s="95"/>
      <c r="H138" s="95"/>
      <c r="I138" s="95"/>
      <c r="J138" s="96">
        <f>J136-J137</f>
        <v>0.07694822111553784</v>
      </c>
      <c r="K138" s="29"/>
      <c r="L138" s="29"/>
      <c r="M138" s="29"/>
      <c r="N138" s="6"/>
    </row>
    <row r="139" spans="1:14" ht="15.75">
      <c r="A139" s="92"/>
      <c r="B139" s="93" t="s">
        <v>95</v>
      </c>
      <c r="C139" s="94"/>
      <c r="D139" s="94"/>
      <c r="E139" s="94"/>
      <c r="F139" s="94"/>
      <c r="G139" s="95"/>
      <c r="H139" s="95"/>
      <c r="I139" s="95"/>
      <c r="J139" s="96" t="s">
        <v>181</v>
      </c>
      <c r="K139" s="29"/>
      <c r="L139" s="29"/>
      <c r="M139" s="29"/>
      <c r="N139" s="6"/>
    </row>
    <row r="140" spans="1:14" ht="15.75">
      <c r="A140" s="92"/>
      <c r="B140" s="93" t="s">
        <v>96</v>
      </c>
      <c r="C140" s="94"/>
      <c r="D140" s="94"/>
      <c r="E140" s="94"/>
      <c r="F140" s="94"/>
      <c r="G140" s="95"/>
      <c r="H140" s="95"/>
      <c r="I140" s="95"/>
      <c r="J140" s="96" t="s">
        <v>182</v>
      </c>
      <c r="K140" s="29"/>
      <c r="L140" s="29"/>
      <c r="M140" s="29"/>
      <c r="N140" s="6"/>
    </row>
    <row r="141" spans="1:14" ht="15.75">
      <c r="A141" s="92"/>
      <c r="B141" s="93" t="s">
        <v>97</v>
      </c>
      <c r="C141" s="94"/>
      <c r="D141" s="94"/>
      <c r="E141" s="94"/>
      <c r="F141" s="94"/>
      <c r="G141" s="95"/>
      <c r="H141" s="95"/>
      <c r="I141" s="95"/>
      <c r="J141" s="96" t="s">
        <v>183</v>
      </c>
      <c r="K141" s="29"/>
      <c r="L141" s="29"/>
      <c r="M141" s="29"/>
      <c r="N141" s="6"/>
    </row>
    <row r="142" spans="1:14" ht="15.75">
      <c r="A142" s="92"/>
      <c r="B142" s="93" t="s">
        <v>98</v>
      </c>
      <c r="C142" s="94"/>
      <c r="D142" s="94"/>
      <c r="E142" s="94"/>
      <c r="F142" s="94"/>
      <c r="G142" s="95"/>
      <c r="H142" s="95"/>
      <c r="I142" s="95"/>
      <c r="J142" s="97">
        <v>4.08</v>
      </c>
      <c r="K142" s="29"/>
      <c r="L142" s="29"/>
      <c r="M142" s="29"/>
      <c r="N142" s="6"/>
    </row>
    <row r="143" spans="1:14" ht="15.75">
      <c r="A143" s="92"/>
      <c r="B143" s="93" t="s">
        <v>99</v>
      </c>
      <c r="C143" s="94"/>
      <c r="D143" s="94"/>
      <c r="E143" s="94"/>
      <c r="F143" s="94"/>
      <c r="G143" s="95"/>
      <c r="H143" s="95"/>
      <c r="I143" s="95"/>
      <c r="J143" s="97">
        <v>6.24</v>
      </c>
      <c r="K143" s="29"/>
      <c r="L143" s="29"/>
      <c r="M143" s="29"/>
      <c r="N143" s="6"/>
    </row>
    <row r="144" spans="1:14" ht="15.75">
      <c r="A144" s="92"/>
      <c r="B144" s="93" t="s">
        <v>100</v>
      </c>
      <c r="C144" s="94"/>
      <c r="D144" s="94"/>
      <c r="E144" s="94"/>
      <c r="F144" s="94"/>
      <c r="G144" s="95"/>
      <c r="H144" s="95"/>
      <c r="I144" s="95"/>
      <c r="J144" s="96">
        <v>0.1481</v>
      </c>
      <c r="K144" s="29"/>
      <c r="L144" s="29"/>
      <c r="M144" s="29"/>
      <c r="N144" s="6"/>
    </row>
    <row r="145" spans="1:14" ht="15.75">
      <c r="A145" s="92"/>
      <c r="B145" s="93" t="s">
        <v>101</v>
      </c>
      <c r="C145" s="94"/>
      <c r="D145" s="94"/>
      <c r="E145" s="94"/>
      <c r="F145" s="94"/>
      <c r="G145" s="95"/>
      <c r="H145" s="95"/>
      <c r="I145" s="95"/>
      <c r="J145" s="96">
        <v>0.4516</v>
      </c>
      <c r="K145" s="29"/>
      <c r="L145" s="29"/>
      <c r="M145" s="29"/>
      <c r="N145" s="6"/>
    </row>
    <row r="146" spans="1:14" ht="15.75">
      <c r="A146" s="92"/>
      <c r="B146" s="93"/>
      <c r="C146" s="93"/>
      <c r="D146" s="93"/>
      <c r="E146" s="93"/>
      <c r="F146" s="93"/>
      <c r="G146" s="29"/>
      <c r="H146" s="29"/>
      <c r="I146" s="36"/>
      <c r="J146" s="98"/>
      <c r="K146" s="29"/>
      <c r="L146" s="99"/>
      <c r="M146" s="29"/>
      <c r="N146" s="6"/>
    </row>
    <row r="147" spans="1:14" ht="15.75">
      <c r="A147" s="90"/>
      <c r="B147" s="100"/>
      <c r="C147" s="100"/>
      <c r="D147" s="100"/>
      <c r="E147" s="100"/>
      <c r="F147" s="100"/>
      <c r="G147" s="9"/>
      <c r="H147" s="9"/>
      <c r="I147" s="22"/>
      <c r="J147" s="101"/>
      <c r="K147" s="9"/>
      <c r="L147" s="102"/>
      <c r="M147" s="9"/>
      <c r="N147" s="6"/>
    </row>
    <row r="148" spans="1:14" ht="16.5" thickBot="1">
      <c r="A148" s="150"/>
      <c r="B148" s="145" t="str">
        <f>B97</f>
        <v>PPAF1 INVESTOR REPORT QUARTER ENDING MAY 2003</v>
      </c>
      <c r="C148" s="151"/>
      <c r="D148" s="151"/>
      <c r="E148" s="151"/>
      <c r="F148" s="151"/>
      <c r="G148" s="146"/>
      <c r="H148" s="146"/>
      <c r="I148" s="152"/>
      <c r="J148" s="153"/>
      <c r="K148" s="146"/>
      <c r="L148" s="154"/>
      <c r="M148" s="148"/>
      <c r="N148" s="6"/>
    </row>
    <row r="149" spans="1:14" ht="15.75">
      <c r="A149" s="103"/>
      <c r="B149" s="104" t="s">
        <v>102</v>
      </c>
      <c r="C149" s="105"/>
      <c r="D149" s="106"/>
      <c r="E149" s="105"/>
      <c r="F149" s="106"/>
      <c r="G149" s="105"/>
      <c r="H149" s="106"/>
      <c r="I149" s="105" t="s">
        <v>141</v>
      </c>
      <c r="J149" s="106" t="s">
        <v>184</v>
      </c>
      <c r="K149" s="107"/>
      <c r="L149" s="107"/>
      <c r="M149" s="5"/>
      <c r="N149" s="6"/>
    </row>
    <row r="150" spans="1:14" ht="15.75">
      <c r="A150" s="108"/>
      <c r="B150" s="93" t="s">
        <v>103</v>
      </c>
      <c r="C150" s="68"/>
      <c r="D150" s="68"/>
      <c r="E150" s="68"/>
      <c r="F150" s="29"/>
      <c r="G150" s="29"/>
      <c r="H150" s="29"/>
      <c r="I150" s="29">
        <v>584</v>
      </c>
      <c r="J150" s="67">
        <v>3971</v>
      </c>
      <c r="K150" s="67"/>
      <c r="L150" s="99"/>
      <c r="M150" s="109"/>
      <c r="N150" s="6"/>
    </row>
    <row r="151" spans="1:14" ht="15.75">
      <c r="A151" s="108"/>
      <c r="B151" s="93" t="s">
        <v>104</v>
      </c>
      <c r="C151" s="68"/>
      <c r="D151" s="68"/>
      <c r="E151" s="68"/>
      <c r="F151" s="29"/>
      <c r="G151" s="29"/>
      <c r="H151" s="29"/>
      <c r="I151" s="29">
        <v>8</v>
      </c>
      <c r="J151" s="67">
        <v>50</v>
      </c>
      <c r="K151" s="67"/>
      <c r="L151" s="99"/>
      <c r="M151" s="109"/>
      <c r="N151" s="6"/>
    </row>
    <row r="152" spans="1:14" ht="15.75">
      <c r="A152" s="108"/>
      <c r="B152" s="168" t="s">
        <v>105</v>
      </c>
      <c r="C152" s="68"/>
      <c r="D152" s="68"/>
      <c r="E152" s="68"/>
      <c r="F152" s="29"/>
      <c r="G152" s="29"/>
      <c r="H152" s="29"/>
      <c r="I152" s="29"/>
      <c r="J152" s="110">
        <v>0</v>
      </c>
      <c r="K152" s="29"/>
      <c r="L152" s="99"/>
      <c r="M152" s="109"/>
      <c r="N152" s="6"/>
    </row>
    <row r="153" spans="1:14" ht="15.75">
      <c r="A153" s="108"/>
      <c r="B153" s="168" t="s">
        <v>106</v>
      </c>
      <c r="C153" s="68"/>
      <c r="D153" s="68"/>
      <c r="E153" s="68"/>
      <c r="F153" s="29"/>
      <c r="G153" s="29"/>
      <c r="H153" s="29"/>
      <c r="I153" s="29"/>
      <c r="J153" s="67">
        <f>H67</f>
        <v>10497</v>
      </c>
      <c r="K153" s="29"/>
      <c r="L153" s="99"/>
      <c r="M153" s="109"/>
      <c r="N153" s="6"/>
    </row>
    <row r="154" spans="1:14" ht="15.75">
      <c r="A154" s="111"/>
      <c r="B154" s="168" t="s">
        <v>107</v>
      </c>
      <c r="C154" s="68"/>
      <c r="D154" s="93"/>
      <c r="E154" s="93"/>
      <c r="F154" s="93"/>
      <c r="G154" s="29"/>
      <c r="H154" s="29"/>
      <c r="I154" s="29"/>
      <c r="J154" s="112"/>
      <c r="K154" s="29"/>
      <c r="L154" s="99"/>
      <c r="M154" s="113"/>
      <c r="N154" s="6"/>
    </row>
    <row r="155" spans="1:14" ht="15.75">
      <c r="A155" s="108"/>
      <c r="B155" s="93" t="s">
        <v>108</v>
      </c>
      <c r="C155" s="68"/>
      <c r="D155" s="68"/>
      <c r="E155" s="68"/>
      <c r="F155" s="68"/>
      <c r="G155" s="29"/>
      <c r="H155" s="29"/>
      <c r="I155" s="29"/>
      <c r="J155" s="67">
        <f>L116</f>
        <v>1644</v>
      </c>
      <c r="K155" s="29"/>
      <c r="L155" s="99"/>
      <c r="M155" s="113"/>
      <c r="N155" s="6"/>
    </row>
    <row r="156" spans="1:14" ht="15.75">
      <c r="A156" s="108"/>
      <c r="B156" s="93" t="s">
        <v>109</v>
      </c>
      <c r="C156" s="68"/>
      <c r="D156" s="68"/>
      <c r="E156" s="68"/>
      <c r="F156" s="68"/>
      <c r="G156" s="29"/>
      <c r="H156" s="29"/>
      <c r="I156" s="29"/>
      <c r="J156" s="67">
        <f>L116+'Feb 03'!J156</f>
        <v>16598</v>
      </c>
      <c r="K156" s="29"/>
      <c r="L156" s="99"/>
      <c r="M156" s="113"/>
      <c r="N156" s="6"/>
    </row>
    <row r="157" spans="1:14" ht="15.75">
      <c r="A157" s="108"/>
      <c r="B157" s="93" t="s">
        <v>110</v>
      </c>
      <c r="C157" s="68"/>
      <c r="D157" s="68"/>
      <c r="E157" s="68"/>
      <c r="F157" s="68"/>
      <c r="G157" s="29"/>
      <c r="H157" s="29"/>
      <c r="I157" s="29"/>
      <c r="J157" s="67"/>
      <c r="K157" s="29"/>
      <c r="L157" s="99"/>
      <c r="M157" s="113"/>
      <c r="N157" s="6"/>
    </row>
    <row r="158" spans="1:14" ht="15.75">
      <c r="A158" s="108"/>
      <c r="B158" s="93"/>
      <c r="C158" s="68"/>
      <c r="D158" s="68"/>
      <c r="E158" s="68"/>
      <c r="F158" s="68"/>
      <c r="G158" s="29"/>
      <c r="H158" s="29"/>
      <c r="I158" s="29"/>
      <c r="J158" s="67"/>
      <c r="K158" s="29"/>
      <c r="L158" s="99"/>
      <c r="M158" s="113"/>
      <c r="N158" s="6"/>
    </row>
    <row r="159" spans="1:14" ht="15.75">
      <c r="A159" s="111"/>
      <c r="B159" s="168" t="s">
        <v>111</v>
      </c>
      <c r="C159" s="68"/>
      <c r="D159" s="93"/>
      <c r="E159" s="93"/>
      <c r="F159" s="93"/>
      <c r="G159" s="29"/>
      <c r="H159" s="29"/>
      <c r="I159" s="29"/>
      <c r="J159" s="89"/>
      <c r="K159" s="29"/>
      <c r="L159" s="99"/>
      <c r="M159" s="113"/>
      <c r="N159" s="6"/>
    </row>
    <row r="160" spans="1:14" ht="15.75">
      <c r="A160" s="111"/>
      <c r="B160" s="93" t="s">
        <v>112</v>
      </c>
      <c r="C160" s="68"/>
      <c r="D160" s="93"/>
      <c r="E160" s="93"/>
      <c r="F160" s="93"/>
      <c r="G160" s="29"/>
      <c r="H160" s="29"/>
      <c r="I160" s="29"/>
      <c r="J160" s="89">
        <v>0</v>
      </c>
      <c r="K160" s="29"/>
      <c r="L160" s="99"/>
      <c r="M160" s="113"/>
      <c r="N160" s="6"/>
    </row>
    <row r="161" spans="1:14" ht="15.75">
      <c r="A161" s="108"/>
      <c r="B161" s="93" t="s">
        <v>113</v>
      </c>
      <c r="C161" s="68"/>
      <c r="D161" s="114"/>
      <c r="E161" s="114"/>
      <c r="F161" s="115"/>
      <c r="G161" s="29"/>
      <c r="H161" s="29"/>
      <c r="I161" s="29"/>
      <c r="J161" s="89">
        <v>0</v>
      </c>
      <c r="K161" s="29"/>
      <c r="L161" s="99"/>
      <c r="M161" s="113"/>
      <c r="N161" s="6"/>
    </row>
    <row r="162" spans="1:14" ht="15.75">
      <c r="A162" s="108"/>
      <c r="B162" s="93" t="s">
        <v>114</v>
      </c>
      <c r="C162" s="68"/>
      <c r="D162" s="114"/>
      <c r="E162" s="114"/>
      <c r="F162" s="115"/>
      <c r="G162" s="29"/>
      <c r="H162" s="29"/>
      <c r="I162" s="29"/>
      <c r="J162" s="89">
        <v>0</v>
      </c>
      <c r="K162" s="29"/>
      <c r="L162" s="99"/>
      <c r="M162" s="113"/>
      <c r="N162" s="6"/>
    </row>
    <row r="163" spans="1:14" ht="15.75">
      <c r="A163" s="108"/>
      <c r="B163" s="93" t="s">
        <v>115</v>
      </c>
      <c r="C163" s="68"/>
      <c r="D163" s="116"/>
      <c r="E163" s="114"/>
      <c r="F163" s="115"/>
      <c r="G163" s="29"/>
      <c r="H163" s="29"/>
      <c r="I163" s="29"/>
      <c r="J163" s="89">
        <v>0</v>
      </c>
      <c r="K163" s="29"/>
      <c r="L163" s="99"/>
      <c r="M163" s="113"/>
      <c r="N163" s="6"/>
    </row>
    <row r="164" spans="1:14" ht="15.75">
      <c r="A164" s="108"/>
      <c r="B164" s="93"/>
      <c r="C164" s="68"/>
      <c r="D164" s="116"/>
      <c r="E164" s="114"/>
      <c r="F164" s="115"/>
      <c r="G164" s="29"/>
      <c r="H164" s="29"/>
      <c r="I164" s="29"/>
      <c r="J164" s="89"/>
      <c r="K164" s="29"/>
      <c r="L164" s="99"/>
      <c r="M164" s="113"/>
      <c r="N164" s="6"/>
    </row>
    <row r="165" spans="1:14" ht="15.75">
      <c r="A165" s="108"/>
      <c r="B165" s="168" t="s">
        <v>116</v>
      </c>
      <c r="C165" s="68"/>
      <c r="D165" s="68"/>
      <c r="E165" s="116"/>
      <c r="F165" s="114"/>
      <c r="G165" s="115"/>
      <c r="H165" s="29"/>
      <c r="I165" s="36"/>
      <c r="J165" s="36"/>
      <c r="K165" s="117"/>
      <c r="L165" s="36"/>
      <c r="M165" s="99"/>
      <c r="N165" s="6"/>
    </row>
    <row r="166" spans="1:14" ht="15.75">
      <c r="A166" s="108"/>
      <c r="B166" s="93" t="s">
        <v>117</v>
      </c>
      <c r="C166" s="68"/>
      <c r="D166" s="68"/>
      <c r="E166" s="116"/>
      <c r="F166" s="114"/>
      <c r="G166" s="115"/>
      <c r="H166" s="29"/>
      <c r="I166" s="36"/>
      <c r="J166" s="118">
        <v>66</v>
      </c>
      <c r="K166" s="118"/>
      <c r="L166" s="36"/>
      <c r="M166" s="99"/>
      <c r="N166" s="6"/>
    </row>
    <row r="167" spans="1:14" ht="15.75">
      <c r="A167" s="108"/>
      <c r="B167" s="93" t="s">
        <v>113</v>
      </c>
      <c r="C167" s="68"/>
      <c r="D167" s="68"/>
      <c r="E167" s="116"/>
      <c r="F167" s="114"/>
      <c r="G167" s="115"/>
      <c r="H167" s="29"/>
      <c r="I167" s="36"/>
      <c r="J167" s="118">
        <v>1.23</v>
      </c>
      <c r="K167" s="118"/>
      <c r="L167" s="36"/>
      <c r="M167" s="99"/>
      <c r="N167" s="6"/>
    </row>
    <row r="168" spans="1:14" ht="15.75">
      <c r="A168" s="108"/>
      <c r="B168" s="93" t="s">
        <v>118</v>
      </c>
      <c r="C168" s="68"/>
      <c r="D168" s="68"/>
      <c r="E168" s="116"/>
      <c r="F168" s="114"/>
      <c r="G168" s="115"/>
      <c r="H168" s="29"/>
      <c r="I168" s="36"/>
      <c r="J168" s="118">
        <v>28</v>
      </c>
      <c r="K168" s="118"/>
      <c r="L168" s="36"/>
      <c r="M168" s="99"/>
      <c r="N168" s="6"/>
    </row>
    <row r="169" spans="1:14" ht="15.75">
      <c r="A169" s="108"/>
      <c r="B169" s="93"/>
      <c r="C169" s="68"/>
      <c r="D169" s="116"/>
      <c r="E169" s="114"/>
      <c r="F169" s="115"/>
      <c r="G169" s="29"/>
      <c r="H169" s="29"/>
      <c r="I169" s="29"/>
      <c r="J169" s="89"/>
      <c r="K169" s="29"/>
      <c r="L169" s="99"/>
      <c r="M169" s="113"/>
      <c r="N169" s="6"/>
    </row>
    <row r="170" spans="1:14" ht="15.75">
      <c r="A170" s="28"/>
      <c r="B170" s="119" t="s">
        <v>119</v>
      </c>
      <c r="C170" s="120"/>
      <c r="D170" s="121"/>
      <c r="E170" s="120"/>
      <c r="F170" s="121"/>
      <c r="G170" s="120"/>
      <c r="H170" s="121"/>
      <c r="I170" s="120"/>
      <c r="J170" s="121"/>
      <c r="K170" s="120"/>
      <c r="L170" s="122"/>
      <c r="M170" s="113"/>
      <c r="N170" s="6"/>
    </row>
    <row r="171" spans="1:14" ht="15.75">
      <c r="A171" s="28"/>
      <c r="B171" s="33"/>
      <c r="C171" s="84"/>
      <c r="D171" s="119" t="s">
        <v>151</v>
      </c>
      <c r="E171" s="120"/>
      <c r="F171" s="121"/>
      <c r="G171" s="120"/>
      <c r="H171" s="119" t="s">
        <v>39</v>
      </c>
      <c r="I171" s="120"/>
      <c r="J171" s="121"/>
      <c r="K171" s="120"/>
      <c r="L171" s="122"/>
      <c r="M171" s="113"/>
      <c r="N171" s="6"/>
    </row>
    <row r="172" spans="1:14" ht="15.75">
      <c r="A172" s="28"/>
      <c r="B172" s="84"/>
      <c r="C172" s="121" t="s">
        <v>141</v>
      </c>
      <c r="D172" s="120" t="s">
        <v>152</v>
      </c>
      <c r="E172" s="121" t="s">
        <v>157</v>
      </c>
      <c r="F172" s="120" t="s">
        <v>152</v>
      </c>
      <c r="G172" s="120"/>
      <c r="H172" s="121" t="s">
        <v>141</v>
      </c>
      <c r="I172" s="120" t="s">
        <v>152</v>
      </c>
      <c r="J172" s="121" t="s">
        <v>157</v>
      </c>
      <c r="K172" s="120" t="s">
        <v>152</v>
      </c>
      <c r="L172" s="122"/>
      <c r="M172" s="113"/>
      <c r="N172" s="6"/>
    </row>
    <row r="173" spans="1:14" ht="15.75">
      <c r="A173" s="28"/>
      <c r="B173" s="68" t="s">
        <v>120</v>
      </c>
      <c r="C173" s="123">
        <v>7880</v>
      </c>
      <c r="D173" s="96">
        <f>C173/C177</f>
        <v>0.8654585392641406</v>
      </c>
      <c r="E173" s="123">
        <v>48085</v>
      </c>
      <c r="F173" s="96">
        <f>E173/E177</f>
        <v>0.8782006794024181</v>
      </c>
      <c r="G173" s="120"/>
      <c r="H173" s="123">
        <v>32433</v>
      </c>
      <c r="I173" s="96">
        <f>H173/H177</f>
        <v>0.9248075278015397</v>
      </c>
      <c r="J173" s="123">
        <v>24458</v>
      </c>
      <c r="K173" s="96">
        <f>J173/J177</f>
        <v>0.9190936079065049</v>
      </c>
      <c r="L173" s="122"/>
      <c r="M173" s="113"/>
      <c r="N173" s="6"/>
    </row>
    <row r="174" spans="1:14" ht="15.75">
      <c r="A174" s="28"/>
      <c r="B174" s="68" t="s">
        <v>121</v>
      </c>
      <c r="C174" s="123">
        <v>189</v>
      </c>
      <c r="D174" s="96">
        <f>C174/$C$177</f>
        <v>0.020757825370675453</v>
      </c>
      <c r="E174" s="123">
        <v>1036</v>
      </c>
      <c r="F174" s="96">
        <f>E174/$E$177</f>
        <v>0.018920992073638454</v>
      </c>
      <c r="G174" s="120"/>
      <c r="H174" s="123">
        <v>419</v>
      </c>
      <c r="I174" s="96">
        <f>H174/$H$177</f>
        <v>0.011947533504419731</v>
      </c>
      <c r="J174" s="123">
        <v>265</v>
      </c>
      <c r="K174" s="96">
        <f>J174/$J$177</f>
        <v>0.00995828792604562</v>
      </c>
      <c r="L174" s="122"/>
      <c r="M174" s="113"/>
      <c r="N174" s="6"/>
    </row>
    <row r="175" spans="1:14" ht="15.75">
      <c r="A175" s="28"/>
      <c r="B175" s="68" t="s">
        <v>122</v>
      </c>
      <c r="C175" s="123">
        <v>130</v>
      </c>
      <c r="D175" s="96">
        <f>C175/$C$177</f>
        <v>0.014277869302580999</v>
      </c>
      <c r="E175" s="123">
        <v>844</v>
      </c>
      <c r="F175" s="96">
        <f>E175/$E$177</f>
        <v>0.015414398948022063</v>
      </c>
      <c r="G175" s="120"/>
      <c r="H175" s="123">
        <v>323</v>
      </c>
      <c r="I175" s="96">
        <f>H175/$H$177</f>
        <v>0.00921015112631879</v>
      </c>
      <c r="J175" s="123">
        <v>222</v>
      </c>
      <c r="K175" s="96">
        <f>J175/$J$177</f>
        <v>0.008342414790875954</v>
      </c>
      <c r="L175" s="122"/>
      <c r="M175" s="113"/>
      <c r="N175" s="6"/>
    </row>
    <row r="176" spans="1:16" ht="15.75">
      <c r="A176" s="28"/>
      <c r="B176" s="68" t="s">
        <v>123</v>
      </c>
      <c r="C176" s="123">
        <v>906</v>
      </c>
      <c r="D176" s="96">
        <f>C176/$C$177</f>
        <v>0.09950576606260296</v>
      </c>
      <c r="E176" s="123">
        <v>4789</v>
      </c>
      <c r="F176" s="96">
        <f>E176/$E$177</f>
        <v>0.08746392957592139</v>
      </c>
      <c r="G176" s="120"/>
      <c r="H176" s="123">
        <v>1895</v>
      </c>
      <c r="I176" s="96">
        <f>H176/$H$177</f>
        <v>0.0540347875677217</v>
      </c>
      <c r="J176" s="123">
        <v>1666</v>
      </c>
      <c r="K176" s="96">
        <f>J176/$J$177</f>
        <v>0.0626056893765736</v>
      </c>
      <c r="L176" s="122"/>
      <c r="M176" s="113"/>
      <c r="N176" s="6"/>
      <c r="P176" s="72"/>
    </row>
    <row r="177" spans="1:16" ht="15.75">
      <c r="A177" s="28"/>
      <c r="B177" s="68" t="s">
        <v>124</v>
      </c>
      <c r="C177" s="123">
        <f>SUM(C173:C176)</f>
        <v>9105</v>
      </c>
      <c r="D177" s="96">
        <f>SUM(D173:D176)</f>
        <v>1</v>
      </c>
      <c r="E177" s="123">
        <f>SUM(E173:E176)</f>
        <v>54754</v>
      </c>
      <c r="F177" s="96">
        <f>SUM(F173:F176)</f>
        <v>1</v>
      </c>
      <c r="G177" s="120"/>
      <c r="H177" s="123">
        <f>SUM(H173:H176)</f>
        <v>35070</v>
      </c>
      <c r="I177" s="96">
        <f>SUM(I173:I176)</f>
        <v>1</v>
      </c>
      <c r="J177" s="123">
        <f>SUM(J173:J176)</f>
        <v>26611</v>
      </c>
      <c r="K177" s="96">
        <f>SUM(K173:K176)</f>
        <v>1</v>
      </c>
      <c r="L177" s="122"/>
      <c r="M177" s="113"/>
      <c r="N177" s="6"/>
      <c r="P177" s="72"/>
    </row>
    <row r="178" spans="1:15" ht="15.75">
      <c r="A178" s="28"/>
      <c r="B178" s="68" t="s">
        <v>125</v>
      </c>
      <c r="C178" s="123">
        <v>3164</v>
      </c>
      <c r="D178" s="124"/>
      <c r="E178" s="123">
        <v>21509</v>
      </c>
      <c r="F178" s="124"/>
      <c r="G178" s="120"/>
      <c r="H178" s="123">
        <v>2255</v>
      </c>
      <c r="I178" s="124"/>
      <c r="J178" s="123">
        <v>2988</v>
      </c>
      <c r="K178" s="124"/>
      <c r="L178" s="122"/>
      <c r="M178" s="113"/>
      <c r="N178" s="6"/>
      <c r="O178" s="72"/>
    </row>
    <row r="179" spans="1:16" ht="15.75">
      <c r="A179" s="28"/>
      <c r="B179" s="68" t="s">
        <v>126</v>
      </c>
      <c r="C179" s="123">
        <f>SUM(C177:C178)</f>
        <v>12269</v>
      </c>
      <c r="D179" s="84"/>
      <c r="E179" s="123">
        <f>E178+E177</f>
        <v>76263</v>
      </c>
      <c r="F179" s="127"/>
      <c r="G179" s="84"/>
      <c r="H179" s="123">
        <f>SUM(H177:H178)</f>
        <v>37325</v>
      </c>
      <c r="I179" s="84"/>
      <c r="J179" s="123">
        <f>J178+J177</f>
        <v>29599</v>
      </c>
      <c r="K179" s="84"/>
      <c r="L179" s="84"/>
      <c r="M179" s="113"/>
      <c r="N179" s="6"/>
      <c r="P179" s="72"/>
    </row>
    <row r="180" spans="1:16" ht="15.75">
      <c r="A180" s="28"/>
      <c r="B180" s="68"/>
      <c r="C180" s="123"/>
      <c r="D180" s="127"/>
      <c r="E180" s="123"/>
      <c r="F180" s="127"/>
      <c r="G180" s="120"/>
      <c r="H180" s="123"/>
      <c r="I180" s="127"/>
      <c r="J180" s="123"/>
      <c r="K180" s="127"/>
      <c r="L180" s="122"/>
      <c r="M180" s="113"/>
      <c r="N180" s="6"/>
      <c r="P180" s="72"/>
    </row>
    <row r="181" spans="1:15" ht="15.75">
      <c r="A181" s="28"/>
      <c r="B181" s="68"/>
      <c r="C181" s="120"/>
      <c r="D181" s="119" t="s">
        <v>40</v>
      </c>
      <c r="E181" s="120"/>
      <c r="F181" s="121"/>
      <c r="G181" s="120"/>
      <c r="H181" s="119" t="s">
        <v>41</v>
      </c>
      <c r="I181" s="120"/>
      <c r="J181" s="121"/>
      <c r="K181" s="120"/>
      <c r="L181" s="122"/>
      <c r="M181" s="113"/>
      <c r="N181" s="6"/>
      <c r="O181" s="72"/>
    </row>
    <row r="182" spans="1:14" ht="15.75">
      <c r="A182" s="28"/>
      <c r="B182" s="84"/>
      <c r="C182" s="121" t="s">
        <v>141</v>
      </c>
      <c r="D182" s="120" t="s">
        <v>152</v>
      </c>
      <c r="E182" s="121" t="s">
        <v>157</v>
      </c>
      <c r="F182" s="120" t="s">
        <v>152</v>
      </c>
      <c r="G182" s="120"/>
      <c r="H182" s="121" t="s">
        <v>141</v>
      </c>
      <c r="I182" s="120" t="s">
        <v>152</v>
      </c>
      <c r="J182" s="121" t="s">
        <v>157</v>
      </c>
      <c r="K182" s="120" t="s">
        <v>152</v>
      </c>
      <c r="L182" s="122"/>
      <c r="M182" s="113"/>
      <c r="N182" s="6"/>
    </row>
    <row r="183" spans="1:15" ht="15.75">
      <c r="A183" s="28"/>
      <c r="B183" s="68" t="s">
        <v>120</v>
      </c>
      <c r="C183" s="123">
        <v>3688</v>
      </c>
      <c r="D183" s="96">
        <f>C183/C187</f>
        <v>0.9556880020730759</v>
      </c>
      <c r="E183" s="123">
        <v>63236</v>
      </c>
      <c r="F183" s="96">
        <f>E183/E187</f>
        <v>0.955486386026412</v>
      </c>
      <c r="G183" s="120"/>
      <c r="H183" s="123">
        <v>10972</v>
      </c>
      <c r="I183" s="96">
        <f>H183/H187</f>
        <v>0.9911472448057814</v>
      </c>
      <c r="J183" s="123">
        <v>63790</v>
      </c>
      <c r="K183" s="96">
        <f>J183/J187</f>
        <v>0.989605957182749</v>
      </c>
      <c r="L183" s="122"/>
      <c r="M183" s="113"/>
      <c r="N183" s="6"/>
      <c r="O183" s="72"/>
    </row>
    <row r="184" spans="1:14" ht="15.75">
      <c r="A184" s="28"/>
      <c r="B184" s="68" t="s">
        <v>121</v>
      </c>
      <c r="C184" s="123">
        <v>57</v>
      </c>
      <c r="D184" s="96">
        <f>C184/$C$187</f>
        <v>0.014770665975641358</v>
      </c>
      <c r="E184" s="123">
        <v>1010</v>
      </c>
      <c r="F184" s="96">
        <f>E184/$E$187</f>
        <v>0.015260947085310205</v>
      </c>
      <c r="G184" s="120"/>
      <c r="H184" s="123">
        <v>35</v>
      </c>
      <c r="I184" s="96">
        <f>H184/$H$187</f>
        <v>0.0031616982836495033</v>
      </c>
      <c r="J184" s="123">
        <v>230</v>
      </c>
      <c r="K184" s="96">
        <f>J184/$J$187</f>
        <v>0.0035681042506981076</v>
      </c>
      <c r="L184" s="122"/>
      <c r="M184" s="113"/>
      <c r="N184" s="6"/>
    </row>
    <row r="185" spans="1:14" ht="15.75">
      <c r="A185" s="28"/>
      <c r="B185" s="68" t="s">
        <v>122</v>
      </c>
      <c r="C185" s="123">
        <v>50</v>
      </c>
      <c r="D185" s="96">
        <f>C185/$C$187</f>
        <v>0.012956724540036279</v>
      </c>
      <c r="E185" s="123">
        <v>972</v>
      </c>
      <c r="F185" s="96">
        <f>E185/$E$187</f>
        <v>0.014686772838536158</v>
      </c>
      <c r="G185" s="120"/>
      <c r="H185" s="123">
        <v>18</v>
      </c>
      <c r="I185" s="96">
        <f>H185/$H$187</f>
        <v>0.0016260162601626016</v>
      </c>
      <c r="J185" s="123">
        <v>129</v>
      </c>
      <c r="K185" s="96">
        <f>J185/$J$187</f>
        <v>0.002001241079739373</v>
      </c>
      <c r="L185" s="122"/>
      <c r="M185" s="113"/>
      <c r="N185" s="6"/>
    </row>
    <row r="186" spans="1:14" ht="15.75">
      <c r="A186" s="28"/>
      <c r="B186" s="68" t="s">
        <v>123</v>
      </c>
      <c r="C186" s="123">
        <v>64</v>
      </c>
      <c r="D186" s="96">
        <f>C186/$C$187</f>
        <v>0.016584607411246437</v>
      </c>
      <c r="E186" s="123">
        <v>964</v>
      </c>
      <c r="F186" s="96">
        <f>E186/$E$187</f>
        <v>0.014565894049741622</v>
      </c>
      <c r="G186" s="120"/>
      <c r="H186" s="123">
        <v>45</v>
      </c>
      <c r="I186" s="96">
        <f>H186/$H$187</f>
        <v>0.0040650406504065045</v>
      </c>
      <c r="J186" s="123">
        <v>311</v>
      </c>
      <c r="K186" s="96">
        <f>J186/$J$187</f>
        <v>0.004824697486813528</v>
      </c>
      <c r="L186" s="122"/>
      <c r="M186" s="113"/>
      <c r="N186" s="6"/>
    </row>
    <row r="187" spans="1:14" ht="15.75">
      <c r="A187" s="28"/>
      <c r="B187" s="68" t="str">
        <f>B177</f>
        <v>Total Performing  Assets</v>
      </c>
      <c r="C187" s="123">
        <f>SUM(C183:C186)</f>
        <v>3859</v>
      </c>
      <c r="D187" s="96">
        <f>SUM(D183:D186)</f>
        <v>1</v>
      </c>
      <c r="E187" s="123">
        <f>SUM(E183:E186)</f>
        <v>66182</v>
      </c>
      <c r="F187" s="96">
        <f>SUM(F183:F186)</f>
        <v>1</v>
      </c>
      <c r="G187" s="120"/>
      <c r="H187" s="123">
        <f>SUM(H183:H186)</f>
        <v>11070</v>
      </c>
      <c r="I187" s="96">
        <f>SUM(I183:I186)</f>
        <v>1</v>
      </c>
      <c r="J187" s="123">
        <f>SUM(J183:J186)</f>
        <v>64460</v>
      </c>
      <c r="K187" s="96">
        <f>SUM(K183:K186)</f>
        <v>1</v>
      </c>
      <c r="L187" s="122"/>
      <c r="M187" s="113"/>
      <c r="N187" s="6"/>
    </row>
    <row r="188" spans="1:14" ht="15.75">
      <c r="A188" s="28"/>
      <c r="B188" s="68" t="s">
        <v>125</v>
      </c>
      <c r="C188" s="123">
        <v>2</v>
      </c>
      <c r="D188" s="126"/>
      <c r="E188" s="123">
        <v>26</v>
      </c>
      <c r="F188" s="124"/>
      <c r="G188" s="120"/>
      <c r="H188" s="123">
        <v>12</v>
      </c>
      <c r="I188" s="126"/>
      <c r="J188" s="123">
        <v>85</v>
      </c>
      <c r="K188" s="126"/>
      <c r="L188" s="122"/>
      <c r="M188" s="113"/>
      <c r="N188" s="6"/>
    </row>
    <row r="189" spans="1:15" ht="15.75">
      <c r="A189" s="28"/>
      <c r="B189" s="68" t="s">
        <v>126</v>
      </c>
      <c r="C189" s="123">
        <f>SUM(C187:C188)</f>
        <v>3861</v>
      </c>
      <c r="D189" s="84"/>
      <c r="E189" s="123">
        <f>E188+E187</f>
        <v>66208</v>
      </c>
      <c r="F189" s="127"/>
      <c r="G189" s="84"/>
      <c r="H189" s="123">
        <f>SUM(H187:H188)</f>
        <v>11082</v>
      </c>
      <c r="I189" s="84"/>
      <c r="J189" s="123">
        <f>J188+J187</f>
        <v>64545</v>
      </c>
      <c r="K189" s="84"/>
      <c r="L189" s="84"/>
      <c r="M189" s="84"/>
      <c r="N189" s="6"/>
      <c r="O189" s="72"/>
    </row>
    <row r="190" spans="1:14" ht="15.75">
      <c r="A190" s="28"/>
      <c r="B190" s="68"/>
      <c r="C190" s="120"/>
      <c r="D190" s="121"/>
      <c r="E190" s="120"/>
      <c r="F190" s="121"/>
      <c r="G190" s="120"/>
      <c r="H190" s="128"/>
      <c r="I190" s="120"/>
      <c r="J190" s="123"/>
      <c r="K190" s="120"/>
      <c r="L190" s="122"/>
      <c r="M190" s="113"/>
      <c r="N190" s="6"/>
    </row>
    <row r="191" spans="1:14" ht="15.75">
      <c r="A191" s="28"/>
      <c r="B191" s="68" t="s">
        <v>126</v>
      </c>
      <c r="C191" s="120"/>
      <c r="D191" s="121"/>
      <c r="E191" s="120"/>
      <c r="F191" s="121"/>
      <c r="G191" s="120"/>
      <c r="H191" s="128"/>
      <c r="I191" s="126"/>
      <c r="J191" s="123">
        <f>E179+J179+E189+J189</f>
        <v>236615</v>
      </c>
      <c r="K191" s="127"/>
      <c r="L191" s="122"/>
      <c r="M191" s="113"/>
      <c r="N191" s="6"/>
    </row>
    <row r="192" spans="1:14" ht="15.75">
      <c r="A192" s="28"/>
      <c r="B192" s="68"/>
      <c r="C192" s="120"/>
      <c r="D192" s="121"/>
      <c r="E192" s="120"/>
      <c r="F192" s="121"/>
      <c r="G192" s="120"/>
      <c r="H192" s="121"/>
      <c r="I192" s="120"/>
      <c r="J192" s="123"/>
      <c r="K192" s="126"/>
      <c r="L192" s="122"/>
      <c r="M192" s="113"/>
      <c r="N192" s="6"/>
    </row>
    <row r="193" spans="1:14" ht="15.75">
      <c r="A193" s="28"/>
      <c r="B193" s="129" t="s">
        <v>127</v>
      </c>
      <c r="C193" s="120"/>
      <c r="D193" s="121"/>
      <c r="E193" s="120"/>
      <c r="F193" s="121"/>
      <c r="G193" s="120"/>
      <c r="H193" s="121"/>
      <c r="I193" s="120"/>
      <c r="J193" s="123"/>
      <c r="K193" s="120"/>
      <c r="L193" s="122"/>
      <c r="M193" s="113"/>
      <c r="N193" s="6"/>
    </row>
    <row r="194" spans="1:14" ht="15.75">
      <c r="A194" s="28"/>
      <c r="B194" s="68"/>
      <c r="C194" s="120"/>
      <c r="D194" s="121"/>
      <c r="E194" s="120"/>
      <c r="F194" s="121"/>
      <c r="G194" s="120"/>
      <c r="H194" s="121"/>
      <c r="I194" s="120"/>
      <c r="J194" s="123"/>
      <c r="K194" s="120"/>
      <c r="L194" s="122"/>
      <c r="M194" s="113"/>
      <c r="N194" s="6"/>
    </row>
    <row r="195" spans="1:14" ht="15.75">
      <c r="A195" s="28"/>
      <c r="B195" s="68" t="s">
        <v>128</v>
      </c>
      <c r="C195" s="120"/>
      <c r="D195" s="121"/>
      <c r="E195" s="120"/>
      <c r="F195" s="121"/>
      <c r="G195" s="120"/>
      <c r="H195" s="121"/>
      <c r="I195" s="120"/>
      <c r="J195" s="123">
        <f>E177+J177+E187+J187</f>
        <v>212007</v>
      </c>
      <c r="K195" s="120"/>
      <c r="L195" s="122"/>
      <c r="M195" s="113"/>
      <c r="N195" s="6"/>
    </row>
    <row r="196" spans="1:14" ht="15.75">
      <c r="A196" s="28"/>
      <c r="B196" s="68" t="s">
        <v>129</v>
      </c>
      <c r="C196" s="120"/>
      <c r="D196" s="121"/>
      <c r="E196" s="120"/>
      <c r="F196" s="121"/>
      <c r="G196" s="120"/>
      <c r="H196" s="121"/>
      <c r="I196" s="120"/>
      <c r="J196" s="123">
        <f>L93</f>
        <v>40782</v>
      </c>
      <c r="K196" s="120"/>
      <c r="L196" s="122"/>
      <c r="M196" s="113"/>
      <c r="N196" s="6"/>
    </row>
    <row r="197" spans="1:14" ht="15.75">
      <c r="A197" s="28"/>
      <c r="B197" s="68" t="s">
        <v>130</v>
      </c>
      <c r="C197" s="120"/>
      <c r="D197" s="121"/>
      <c r="E197" s="120"/>
      <c r="F197" s="121"/>
      <c r="G197" s="120"/>
      <c r="H197" s="121"/>
      <c r="I197" s="120"/>
      <c r="J197" s="123">
        <v>-1789</v>
      </c>
      <c r="K197" s="120"/>
      <c r="L197" s="122"/>
      <c r="M197" s="113"/>
      <c r="N197" s="6"/>
    </row>
    <row r="198" spans="1:14" ht="15.75">
      <c r="A198" s="28"/>
      <c r="B198" s="68" t="s">
        <v>131</v>
      </c>
      <c r="C198" s="120"/>
      <c r="D198" s="121"/>
      <c r="E198" s="120"/>
      <c r="F198" s="121"/>
      <c r="G198" s="120"/>
      <c r="H198" s="121"/>
      <c r="I198" s="120"/>
      <c r="J198" s="123">
        <f>SUM(J195:J197)</f>
        <v>251000</v>
      </c>
      <c r="K198" s="120"/>
      <c r="L198" s="122"/>
      <c r="M198" s="113"/>
      <c r="N198" s="6"/>
    </row>
    <row r="199" spans="1:14" ht="15.75">
      <c r="A199" s="28"/>
      <c r="B199" s="68"/>
      <c r="C199" s="120"/>
      <c r="D199" s="121"/>
      <c r="E199" s="120"/>
      <c r="F199" s="121"/>
      <c r="G199" s="120"/>
      <c r="H199" s="121"/>
      <c r="I199" s="120"/>
      <c r="J199" s="123"/>
      <c r="K199" s="120"/>
      <c r="L199" s="122"/>
      <c r="M199" s="113"/>
      <c r="N199" s="6"/>
    </row>
    <row r="200" spans="1:14" ht="15.75">
      <c r="A200" s="28"/>
      <c r="B200" s="68" t="s">
        <v>132</v>
      </c>
      <c r="C200" s="120"/>
      <c r="D200" s="121"/>
      <c r="E200" s="120"/>
      <c r="F200" s="121"/>
      <c r="G200" s="120"/>
      <c r="H200" s="121"/>
      <c r="I200" s="120"/>
      <c r="J200" s="123">
        <f>L30</f>
        <v>251000</v>
      </c>
      <c r="K200" s="120"/>
      <c r="L200" s="122"/>
      <c r="M200" s="113"/>
      <c r="N200" s="6"/>
    </row>
    <row r="201" spans="1:14" ht="15.75">
      <c r="A201" s="28"/>
      <c r="B201" s="68"/>
      <c r="C201" s="120"/>
      <c r="D201" s="121"/>
      <c r="E201" s="120"/>
      <c r="F201" s="121"/>
      <c r="G201" s="120"/>
      <c r="H201" s="121"/>
      <c r="I201" s="120"/>
      <c r="J201" s="123"/>
      <c r="K201" s="120"/>
      <c r="L201" s="122"/>
      <c r="M201" s="113"/>
      <c r="N201" s="6"/>
    </row>
    <row r="202" spans="1:14" ht="15.75">
      <c r="A202" s="28"/>
      <c r="B202" s="68" t="s">
        <v>133</v>
      </c>
      <c r="C202" s="120"/>
      <c r="D202" s="121"/>
      <c r="E202" s="120"/>
      <c r="F202" s="121"/>
      <c r="G202" s="120"/>
      <c r="H202" s="121"/>
      <c r="I202" s="120"/>
      <c r="J202" s="123">
        <f>J198/J200</f>
        <v>1</v>
      </c>
      <c r="K202" s="120"/>
      <c r="L202" s="122"/>
      <c r="M202" s="113"/>
      <c r="N202" s="6"/>
    </row>
    <row r="203" spans="1:14" ht="15.75">
      <c r="A203" s="28"/>
      <c r="B203" s="29"/>
      <c r="C203" s="29"/>
      <c r="D203" s="36"/>
      <c r="E203" s="29"/>
      <c r="F203" s="29"/>
      <c r="G203" s="29"/>
      <c r="H203" s="66"/>
      <c r="I203" s="130"/>
      <c r="J203" s="67"/>
      <c r="K203" s="130"/>
      <c r="L203" s="99"/>
      <c r="M203" s="29"/>
      <c r="N203" s="6"/>
    </row>
    <row r="204" spans="1:14" ht="15.75">
      <c r="A204" s="131"/>
      <c r="B204" s="33" t="s">
        <v>134</v>
      </c>
      <c r="C204" s="132"/>
      <c r="D204" s="120" t="s">
        <v>153</v>
      </c>
      <c r="E204" s="122"/>
      <c r="F204" s="33" t="s">
        <v>166</v>
      </c>
      <c r="G204" s="133"/>
      <c r="H204" s="133"/>
      <c r="I204" s="133"/>
      <c r="J204" s="134"/>
      <c r="K204" s="32"/>
      <c r="L204" s="32"/>
      <c r="M204" s="32"/>
      <c r="N204" s="6"/>
    </row>
    <row r="205" spans="1:14" ht="15.75">
      <c r="A205" s="135"/>
      <c r="B205" s="15" t="s">
        <v>135</v>
      </c>
      <c r="C205" s="136"/>
      <c r="D205" s="137" t="s">
        <v>154</v>
      </c>
      <c r="E205" s="15"/>
      <c r="F205" s="15" t="s">
        <v>167</v>
      </c>
      <c r="G205" s="136"/>
      <c r="H205" s="136"/>
      <c r="I205" s="14"/>
      <c r="J205" s="14"/>
      <c r="K205" s="14"/>
      <c r="L205" s="14"/>
      <c r="M205" s="14"/>
      <c r="N205" s="6"/>
    </row>
    <row r="206" spans="1:14" ht="15.75">
      <c r="A206" s="135"/>
      <c r="B206" s="15" t="s">
        <v>136</v>
      </c>
      <c r="C206" s="136"/>
      <c r="D206" s="137" t="s">
        <v>155</v>
      </c>
      <c r="E206" s="15"/>
      <c r="F206" s="15" t="s">
        <v>168</v>
      </c>
      <c r="G206" s="136"/>
      <c r="H206" s="136"/>
      <c r="I206" s="14"/>
      <c r="J206" s="14"/>
      <c r="K206" s="14"/>
      <c r="L206" s="14"/>
      <c r="M206" s="14"/>
      <c r="N206" s="6"/>
    </row>
    <row r="207" spans="1:14" ht="15.75">
      <c r="A207" s="135"/>
      <c r="B207" s="15"/>
      <c r="C207" s="136"/>
      <c r="D207" s="137"/>
      <c r="E207" s="15"/>
      <c r="F207" s="15"/>
      <c r="G207" s="136"/>
      <c r="H207" s="136"/>
      <c r="I207" s="14"/>
      <c r="J207" s="14"/>
      <c r="K207" s="14"/>
      <c r="L207" s="14"/>
      <c r="M207" s="14"/>
      <c r="N207" s="6"/>
    </row>
    <row r="208" spans="1:14" ht="15.75">
      <c r="A208" s="135"/>
      <c r="B208" s="15"/>
      <c r="C208" s="136"/>
      <c r="D208" s="137"/>
      <c r="E208" s="15"/>
      <c r="F208" s="15"/>
      <c r="G208" s="136"/>
      <c r="H208" s="136"/>
      <c r="I208" s="14"/>
      <c r="J208" s="14"/>
      <c r="K208" s="14"/>
      <c r="L208" s="14"/>
      <c r="M208" s="14"/>
      <c r="N208" s="6"/>
    </row>
    <row r="209" spans="1:14" ht="15.75">
      <c r="A209" s="135"/>
      <c r="B209" s="15" t="str">
        <f>B148</f>
        <v>PPAF1 INVESTOR REPORT QUARTER ENDING MAY 2003</v>
      </c>
      <c r="C209" s="136"/>
      <c r="D209" s="137"/>
      <c r="E209" s="15"/>
      <c r="F209" s="15"/>
      <c r="G209" s="136"/>
      <c r="H209" s="136"/>
      <c r="I209" s="14"/>
      <c r="J209" s="14"/>
      <c r="K209" s="14"/>
      <c r="L209" s="14"/>
      <c r="M209" s="14"/>
      <c r="N209" s="6"/>
    </row>
    <row r="210" spans="1:13" ht="15">
      <c r="A210" s="138"/>
      <c r="B210" s="138"/>
      <c r="C210" s="138"/>
      <c r="D210" s="138"/>
      <c r="E210" s="138"/>
      <c r="F210" s="138"/>
      <c r="G210" s="138"/>
      <c r="H210" s="138"/>
      <c r="I210" s="138"/>
      <c r="J210" s="138"/>
      <c r="K210" s="138"/>
      <c r="L210" s="138"/>
      <c r="M210" s="138"/>
    </row>
  </sheetData>
  <printOptions horizontalCentered="1" verticalCentered="1"/>
  <pageMargins left="0.2362204724409449" right="0.4330708661417323" top="0.2362204724409449" bottom="0.7480314960629921" header="0" footer="0"/>
  <pageSetup horizontalDpi="600" verticalDpi="600" orientation="landscape" paperSize="9" scale="50" r:id="rId2"/>
  <rowBreaks count="4" manualBreakCount="4">
    <brk id="50" max="13" man="1"/>
    <brk id="97" max="13" man="1"/>
    <brk id="148" max="13" man="1"/>
    <brk id="210" max="0" man="1"/>
  </rowBreaks>
  <drawing r:id="rId1"/>
</worksheet>
</file>

<file path=xl/worksheets/sheet9.xml><?xml version="1.0" encoding="utf-8"?>
<worksheet xmlns="http://schemas.openxmlformats.org/spreadsheetml/2006/main" xmlns:r="http://schemas.openxmlformats.org/officeDocument/2006/relationships">
  <dimension ref="A1:P210"/>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1.6640625" style="1" customWidth="1"/>
    <col min="3" max="3" width="16.6640625" style="1" customWidth="1"/>
    <col min="4" max="4" width="14.6640625" style="1" customWidth="1"/>
    <col min="5" max="5" width="12.4453125" style="1" customWidth="1"/>
    <col min="6" max="6" width="14.6640625" style="1" customWidth="1"/>
    <col min="7" max="7" width="7.6640625" style="1" customWidth="1"/>
    <col min="8" max="8" width="13.6640625" style="1" customWidth="1"/>
    <col min="9" max="9" width="9.6640625" style="1" customWidth="1"/>
    <col min="10" max="10" width="13.6640625" style="1" customWidth="1"/>
    <col min="11" max="11" width="8.6640625" style="1" customWidth="1"/>
    <col min="12" max="12" width="15.6640625" style="1" customWidth="1"/>
    <col min="13" max="13" width="11.886718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8"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2" t="s">
        <v>2</v>
      </c>
      <c r="C5" s="13"/>
      <c r="D5" s="9"/>
      <c r="E5" s="9"/>
      <c r="F5" s="9"/>
      <c r="G5" s="9"/>
      <c r="H5" s="9"/>
      <c r="I5" s="9"/>
      <c r="J5" s="9"/>
      <c r="K5" s="9"/>
      <c r="L5" s="9"/>
      <c r="M5" s="9"/>
      <c r="N5" s="6"/>
    </row>
    <row r="6" spans="1:14" ht="15.75">
      <c r="A6" s="7"/>
      <c r="B6" s="12" t="s">
        <v>3</v>
      </c>
      <c r="C6" s="13"/>
      <c r="D6" s="9"/>
      <c r="E6" s="9"/>
      <c r="F6" s="9"/>
      <c r="G6" s="9"/>
      <c r="H6" s="9"/>
      <c r="I6" s="9"/>
      <c r="J6" s="9"/>
      <c r="K6" s="9"/>
      <c r="L6" s="9"/>
      <c r="M6" s="9"/>
      <c r="N6" s="6"/>
    </row>
    <row r="7" spans="1:14" ht="15.75">
      <c r="A7" s="7"/>
      <c r="B7" s="12" t="s">
        <v>4</v>
      </c>
      <c r="C7" s="13"/>
      <c r="D7" s="9"/>
      <c r="E7" s="9"/>
      <c r="F7" s="9"/>
      <c r="G7" s="9"/>
      <c r="H7" s="9"/>
      <c r="I7" s="9"/>
      <c r="J7" s="9"/>
      <c r="K7" s="9"/>
      <c r="L7" s="9"/>
      <c r="M7" s="9"/>
      <c r="N7" s="6"/>
    </row>
    <row r="8" spans="1:14" ht="15.75">
      <c r="A8" s="7"/>
      <c r="B8" s="14"/>
      <c r="C8" s="13"/>
      <c r="D8" s="9"/>
      <c r="E8" s="9"/>
      <c r="F8" s="9"/>
      <c r="G8" s="9"/>
      <c r="H8" s="9"/>
      <c r="I8" s="9"/>
      <c r="J8" s="9"/>
      <c r="K8" s="9"/>
      <c r="L8" s="9"/>
      <c r="M8" s="9"/>
      <c r="N8" s="6"/>
    </row>
    <row r="9" spans="1:14" ht="15.75">
      <c r="A9" s="7"/>
      <c r="B9" s="13"/>
      <c r="C9" s="13"/>
      <c r="D9" s="15"/>
      <c r="E9" s="15"/>
      <c r="F9" s="9"/>
      <c r="G9" s="9"/>
      <c r="H9" s="9"/>
      <c r="I9" s="9"/>
      <c r="J9" s="9"/>
      <c r="K9" s="9"/>
      <c r="L9" s="9"/>
      <c r="M9" s="9"/>
      <c r="N9" s="6"/>
    </row>
    <row r="10" spans="1:14" ht="15.75">
      <c r="A10" s="7"/>
      <c r="B10" s="15" t="s">
        <v>5</v>
      </c>
      <c r="C10" s="15"/>
      <c r="D10" s="9"/>
      <c r="E10" s="9"/>
      <c r="F10" s="9"/>
      <c r="G10" s="9"/>
      <c r="H10" s="9"/>
      <c r="I10" s="9"/>
      <c r="J10" s="9"/>
      <c r="K10" s="9"/>
      <c r="L10" s="9"/>
      <c r="M10" s="9"/>
      <c r="N10" s="6"/>
    </row>
    <row r="11" spans="1:14" ht="15.75">
      <c r="A11" s="7"/>
      <c r="B11" s="15"/>
      <c r="C11" s="15"/>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6" t="s">
        <v>6</v>
      </c>
      <c r="C13" s="16"/>
      <c r="D13" s="17"/>
      <c r="E13" s="17"/>
      <c r="F13" s="17"/>
      <c r="G13" s="17"/>
      <c r="H13" s="17"/>
      <c r="I13" s="17"/>
      <c r="J13" s="17"/>
      <c r="K13" s="17"/>
      <c r="L13" s="18" t="s">
        <v>186</v>
      </c>
      <c r="M13" s="9"/>
      <c r="N13" s="6"/>
    </row>
    <row r="14" spans="1:14" ht="15.75">
      <c r="A14" s="7"/>
      <c r="B14" s="16" t="s">
        <v>7</v>
      </c>
      <c r="C14" s="16"/>
      <c r="D14" s="19" t="s">
        <v>140</v>
      </c>
      <c r="E14" s="20">
        <v>0.348</v>
      </c>
      <c r="F14" s="19" t="s">
        <v>150</v>
      </c>
      <c r="G14" s="20">
        <v>0.229</v>
      </c>
      <c r="H14" s="19" t="s">
        <v>156</v>
      </c>
      <c r="I14" s="20">
        <v>0.098</v>
      </c>
      <c r="J14" s="19" t="s">
        <v>165</v>
      </c>
      <c r="K14" s="20">
        <v>0.1</v>
      </c>
      <c r="L14" s="18"/>
      <c r="M14" s="17"/>
      <c r="N14" s="6"/>
    </row>
    <row r="15" spans="1:14" ht="15.75">
      <c r="A15" s="7"/>
      <c r="B15" s="16" t="s">
        <v>8</v>
      </c>
      <c r="C15" s="16"/>
      <c r="D15" s="19" t="s">
        <v>140</v>
      </c>
      <c r="E15" s="20">
        <f>E177/($J$195+$L$93)</f>
        <v>0.19106844047802712</v>
      </c>
      <c r="F15" s="19" t="s">
        <v>150</v>
      </c>
      <c r="G15" s="20">
        <f>J177/($J$195+$L$93)</f>
        <v>0.09043510595793329</v>
      </c>
      <c r="H15" s="19" t="s">
        <v>156</v>
      </c>
      <c r="I15" s="20">
        <f>E187/($J$195+$L$93)</f>
        <v>0.2575032932603871</v>
      </c>
      <c r="J15" s="19" t="s">
        <v>165</v>
      </c>
      <c r="K15" s="20">
        <f>J187/($J$195+$L$93)</f>
        <v>0.22072954123794944</v>
      </c>
      <c r="L15" s="18"/>
      <c r="M15" s="17"/>
      <c r="N15" s="6"/>
    </row>
    <row r="16" spans="1:14" ht="15.75">
      <c r="A16" s="7"/>
      <c r="B16" s="16" t="s">
        <v>9</v>
      </c>
      <c r="C16" s="16"/>
      <c r="D16" s="17"/>
      <c r="E16" s="17"/>
      <c r="F16" s="17"/>
      <c r="G16" s="17"/>
      <c r="H16" s="17"/>
      <c r="I16" s="17"/>
      <c r="J16" s="17"/>
      <c r="K16" s="17"/>
      <c r="L16" s="178">
        <v>37070</v>
      </c>
      <c r="M16" s="9"/>
      <c r="N16" s="6"/>
    </row>
    <row r="17" spans="1:14" ht="15.75">
      <c r="A17" s="7"/>
      <c r="B17" s="16" t="s">
        <v>10</v>
      </c>
      <c r="C17" s="16"/>
      <c r="D17" s="17"/>
      <c r="E17" s="17"/>
      <c r="F17" s="17"/>
      <c r="G17" s="17"/>
      <c r="H17" s="17"/>
      <c r="I17" s="17"/>
      <c r="J17" s="17"/>
      <c r="K17" s="17"/>
      <c r="L17" s="21">
        <v>37880</v>
      </c>
      <c r="M17" s="9"/>
      <c r="N17" s="6"/>
    </row>
    <row r="18" spans="1:14" ht="15.75">
      <c r="A18" s="7"/>
      <c r="B18" s="9"/>
      <c r="C18" s="9"/>
      <c r="D18" s="9"/>
      <c r="E18" s="9"/>
      <c r="F18" s="9"/>
      <c r="G18" s="9"/>
      <c r="H18" s="9"/>
      <c r="I18" s="9"/>
      <c r="J18" s="9"/>
      <c r="K18" s="9"/>
      <c r="L18" s="22"/>
      <c r="M18" s="9"/>
      <c r="N18" s="6"/>
    </row>
    <row r="19" spans="1:14" ht="15.75">
      <c r="A19" s="7"/>
      <c r="B19" s="23" t="s">
        <v>11</v>
      </c>
      <c r="C19" s="9"/>
      <c r="D19" s="9"/>
      <c r="E19" s="9"/>
      <c r="F19" s="9"/>
      <c r="G19" s="9"/>
      <c r="H19" s="9"/>
      <c r="I19" s="9"/>
      <c r="J19" s="22"/>
      <c r="K19" s="9"/>
      <c r="L19" s="14"/>
      <c r="M19" s="9"/>
      <c r="N19" s="6"/>
    </row>
    <row r="20" spans="1:14" ht="15.75">
      <c r="A20" s="7"/>
      <c r="B20" s="9"/>
      <c r="C20" s="9"/>
      <c r="D20" s="9"/>
      <c r="E20" s="9"/>
      <c r="F20" s="9"/>
      <c r="G20" s="9"/>
      <c r="H20" s="9"/>
      <c r="I20" s="9"/>
      <c r="J20" s="9"/>
      <c r="K20" s="9"/>
      <c r="L20" s="24"/>
      <c r="M20" s="9"/>
      <c r="N20" s="6"/>
    </row>
    <row r="21" spans="1:14" ht="15.75">
      <c r="A21" s="7"/>
      <c r="B21" s="9"/>
      <c r="C21" s="159" t="s">
        <v>137</v>
      </c>
      <c r="D21" s="161" t="s">
        <v>142</v>
      </c>
      <c r="E21" s="161"/>
      <c r="F21" s="161" t="s">
        <v>158</v>
      </c>
      <c r="G21" s="161"/>
      <c r="H21" s="161" t="s">
        <v>169</v>
      </c>
      <c r="I21" s="26"/>
      <c r="J21" s="27"/>
      <c r="K21" s="14"/>
      <c r="L21" s="14"/>
      <c r="M21" s="9"/>
      <c r="N21" s="6"/>
    </row>
    <row r="22" spans="1:14" ht="15.75">
      <c r="A22" s="28"/>
      <c r="B22" s="29" t="s">
        <v>12</v>
      </c>
      <c r="C22" s="160" t="s">
        <v>138</v>
      </c>
      <c r="D22" s="31" t="s">
        <v>143</v>
      </c>
      <c r="E22" s="31"/>
      <c r="F22" s="31" t="s">
        <v>159</v>
      </c>
      <c r="G22" s="31"/>
      <c r="H22" s="31" t="s">
        <v>170</v>
      </c>
      <c r="I22" s="31"/>
      <c r="J22" s="31"/>
      <c r="K22" s="32"/>
      <c r="L22" s="32"/>
      <c r="M22" s="29"/>
      <c r="N22" s="6"/>
    </row>
    <row r="23" spans="1:14" ht="15.75">
      <c r="A23" s="28"/>
      <c r="B23" s="29" t="s">
        <v>13</v>
      </c>
      <c r="C23" s="30"/>
      <c r="D23" s="31" t="s">
        <v>144</v>
      </c>
      <c r="E23" s="31"/>
      <c r="F23" s="31" t="s">
        <v>160</v>
      </c>
      <c r="G23" s="31"/>
      <c r="H23" s="31" t="s">
        <v>171</v>
      </c>
      <c r="I23" s="31"/>
      <c r="J23" s="31"/>
      <c r="K23" s="32"/>
      <c r="L23" s="32"/>
      <c r="M23" s="29"/>
      <c r="N23" s="6"/>
    </row>
    <row r="24" spans="1:14" ht="15.75">
      <c r="A24" s="28"/>
      <c r="B24" s="33" t="s">
        <v>14</v>
      </c>
      <c r="C24" s="33"/>
      <c r="D24" s="34" t="s">
        <v>143</v>
      </c>
      <c r="E24" s="34"/>
      <c r="F24" s="34" t="s">
        <v>159</v>
      </c>
      <c r="G24" s="34"/>
      <c r="H24" s="34" t="s">
        <v>170</v>
      </c>
      <c r="I24" s="34"/>
      <c r="J24" s="34"/>
      <c r="K24" s="35"/>
      <c r="L24" s="32"/>
      <c r="M24" s="29"/>
      <c r="N24" s="6"/>
    </row>
    <row r="25" spans="1:14" ht="15.75">
      <c r="A25" s="28"/>
      <c r="B25" s="33" t="s">
        <v>15</v>
      </c>
      <c r="C25" s="33"/>
      <c r="D25" s="34" t="s">
        <v>144</v>
      </c>
      <c r="E25" s="34"/>
      <c r="F25" s="34" t="s">
        <v>160</v>
      </c>
      <c r="G25" s="34"/>
      <c r="H25" s="34" t="s">
        <v>171</v>
      </c>
      <c r="I25" s="34"/>
      <c r="J25" s="34"/>
      <c r="K25" s="35"/>
      <c r="L25" s="32"/>
      <c r="M25" s="29"/>
      <c r="N25" s="6"/>
    </row>
    <row r="26" spans="1:14" ht="15.75">
      <c r="A26" s="28"/>
      <c r="B26" s="29" t="s">
        <v>16</v>
      </c>
      <c r="C26" s="29"/>
      <c r="D26" s="36" t="s">
        <v>145</v>
      </c>
      <c r="E26" s="31"/>
      <c r="F26" s="36" t="s">
        <v>161</v>
      </c>
      <c r="G26" s="31"/>
      <c r="H26" s="36" t="s">
        <v>172</v>
      </c>
      <c r="I26" s="31"/>
      <c r="J26" s="36"/>
      <c r="K26" s="32"/>
      <c r="L26" s="32"/>
      <c r="M26" s="29"/>
      <c r="N26" s="6"/>
    </row>
    <row r="27" spans="1:14" ht="15.75">
      <c r="A27" s="28"/>
      <c r="B27" s="29"/>
      <c r="C27" s="29"/>
      <c r="D27" s="29"/>
      <c r="E27" s="31"/>
      <c r="F27" s="31"/>
      <c r="G27" s="31"/>
      <c r="H27" s="31"/>
      <c r="I27" s="31"/>
      <c r="J27" s="31"/>
      <c r="K27" s="32"/>
      <c r="L27" s="32"/>
      <c r="M27" s="29"/>
      <c r="N27" s="6"/>
    </row>
    <row r="28" spans="1:14" ht="15.75">
      <c r="A28" s="28"/>
      <c r="B28" s="29" t="s">
        <v>17</v>
      </c>
      <c r="C28" s="29"/>
      <c r="D28" s="37">
        <v>178210</v>
      </c>
      <c r="E28" s="38"/>
      <c r="F28" s="37">
        <v>51450</v>
      </c>
      <c r="G28" s="37"/>
      <c r="H28" s="37">
        <v>21340</v>
      </c>
      <c r="I28" s="37"/>
      <c r="J28" s="37"/>
      <c r="K28" s="39"/>
      <c r="L28" s="37">
        <f>J28+H28+F28+D28</f>
        <v>251000</v>
      </c>
      <c r="M28" s="40"/>
      <c r="N28" s="6"/>
    </row>
    <row r="29" spans="1:14" ht="15.75">
      <c r="A29" s="28"/>
      <c r="B29" s="29" t="s">
        <v>18</v>
      </c>
      <c r="C29" s="44">
        <v>1</v>
      </c>
      <c r="D29" s="37">
        <v>178210</v>
      </c>
      <c r="E29" s="38"/>
      <c r="F29" s="37">
        <v>51450</v>
      </c>
      <c r="G29" s="37"/>
      <c r="H29" s="37">
        <v>21340</v>
      </c>
      <c r="I29" s="42"/>
      <c r="J29" s="37"/>
      <c r="K29" s="39"/>
      <c r="L29" s="37">
        <f>J29+H29+F29+D29</f>
        <v>251000</v>
      </c>
      <c r="M29" s="40"/>
      <c r="N29" s="6"/>
    </row>
    <row r="30" spans="1:14" ht="15.75">
      <c r="A30" s="43"/>
      <c r="B30" s="33" t="s">
        <v>19</v>
      </c>
      <c r="C30" s="44">
        <v>1</v>
      </c>
      <c r="D30" s="45">
        <v>178210</v>
      </c>
      <c r="E30" s="46"/>
      <c r="F30" s="45">
        <v>51450</v>
      </c>
      <c r="G30" s="45"/>
      <c r="H30" s="45">
        <v>21340</v>
      </c>
      <c r="I30" s="45"/>
      <c r="J30" s="45"/>
      <c r="K30" s="47"/>
      <c r="L30" s="45">
        <f>J30+H30+F30+D30</f>
        <v>251000</v>
      </c>
      <c r="M30" s="29"/>
      <c r="N30" s="6"/>
    </row>
    <row r="31" spans="1:14" ht="15.75">
      <c r="A31" s="28"/>
      <c r="B31" s="29" t="s">
        <v>20</v>
      </c>
      <c r="C31" s="155"/>
      <c r="D31" s="36" t="s">
        <v>146</v>
      </c>
      <c r="E31" s="29"/>
      <c r="F31" s="36" t="s">
        <v>162</v>
      </c>
      <c r="G31" s="36"/>
      <c r="H31" s="36" t="s">
        <v>173</v>
      </c>
      <c r="I31" s="36"/>
      <c r="J31" s="36"/>
      <c r="K31" s="32"/>
      <c r="L31" s="32"/>
      <c r="M31" s="29"/>
      <c r="N31" s="6"/>
    </row>
    <row r="32" spans="1:14" ht="15.75">
      <c r="A32" s="28"/>
      <c r="B32" s="29" t="s">
        <v>21</v>
      </c>
      <c r="C32" s="155"/>
      <c r="D32" s="49">
        <v>0.0392625</v>
      </c>
      <c r="E32" s="50"/>
      <c r="F32" s="49">
        <v>0.0448625</v>
      </c>
      <c r="G32" s="49"/>
      <c r="H32" s="49">
        <v>0.0588625</v>
      </c>
      <c r="I32" s="51"/>
      <c r="J32" s="49"/>
      <c r="K32" s="32"/>
      <c r="L32" s="51">
        <f>SUMPRODUCT(D32:J32,D30:J30)/L30</f>
        <v>0.042076778884462145</v>
      </c>
      <c r="M32" s="29"/>
      <c r="N32" s="6"/>
    </row>
    <row r="33" spans="1:14" ht="15.75">
      <c r="A33" s="28"/>
      <c r="B33" s="29" t="s">
        <v>22</v>
      </c>
      <c r="C33" s="155"/>
      <c r="D33" s="49">
        <v>0.0393375</v>
      </c>
      <c r="E33" s="50"/>
      <c r="F33" s="49">
        <v>0.0449375</v>
      </c>
      <c r="G33" s="49"/>
      <c r="H33" s="49">
        <v>0.0589375</v>
      </c>
      <c r="I33" s="51"/>
      <c r="J33" s="49"/>
      <c r="K33" s="32"/>
      <c r="L33" s="32"/>
      <c r="M33" s="29"/>
      <c r="N33" s="6"/>
    </row>
    <row r="34" spans="1:14" ht="15.75">
      <c r="A34" s="28"/>
      <c r="B34" s="29" t="s">
        <v>23</v>
      </c>
      <c r="C34" s="155"/>
      <c r="D34" s="36" t="s">
        <v>147</v>
      </c>
      <c r="E34" s="29"/>
      <c r="F34" s="36" t="s">
        <v>147</v>
      </c>
      <c r="G34" s="36"/>
      <c r="H34" s="36" t="s">
        <v>147</v>
      </c>
      <c r="I34" s="36"/>
      <c r="J34" s="36"/>
      <c r="K34" s="32"/>
      <c r="L34" s="32"/>
      <c r="M34" s="29"/>
      <c r="N34" s="6"/>
    </row>
    <row r="35" spans="1:14" ht="15.75">
      <c r="A35" s="28"/>
      <c r="B35" s="29" t="s">
        <v>24</v>
      </c>
      <c r="C35" s="29"/>
      <c r="D35" s="52">
        <v>39248</v>
      </c>
      <c r="E35" s="29"/>
      <c r="F35" s="52">
        <v>39248</v>
      </c>
      <c r="G35" s="52"/>
      <c r="H35" s="52">
        <v>39248</v>
      </c>
      <c r="I35" s="36"/>
      <c r="J35" s="36"/>
      <c r="K35" s="32"/>
      <c r="L35" s="32"/>
      <c r="M35" s="29"/>
      <c r="N35" s="6"/>
    </row>
    <row r="36" spans="1:14" ht="15.75">
      <c r="A36" s="28"/>
      <c r="B36" s="29" t="s">
        <v>25</v>
      </c>
      <c r="C36" s="29"/>
      <c r="D36" s="36" t="s">
        <v>148</v>
      </c>
      <c r="E36" s="29"/>
      <c r="F36" s="36" t="s">
        <v>163</v>
      </c>
      <c r="G36" s="36"/>
      <c r="H36" s="36" t="s">
        <v>174</v>
      </c>
      <c r="I36" s="36"/>
      <c r="J36" s="36"/>
      <c r="K36" s="32"/>
      <c r="L36" s="32"/>
      <c r="M36" s="29"/>
      <c r="N36" s="6"/>
    </row>
    <row r="37" spans="1:14" ht="15.75">
      <c r="A37" s="28"/>
      <c r="B37" s="29"/>
      <c r="C37" s="29"/>
      <c r="D37" s="53"/>
      <c r="E37" s="53"/>
      <c r="F37" s="50"/>
      <c r="G37" s="53"/>
      <c r="H37" s="142"/>
      <c r="I37" s="53"/>
      <c r="J37" s="53"/>
      <c r="K37" s="53"/>
      <c r="L37" s="53"/>
      <c r="M37" s="29"/>
      <c r="N37" s="6"/>
    </row>
    <row r="38" spans="1:14" ht="15.75">
      <c r="A38" s="28"/>
      <c r="B38" s="29" t="s">
        <v>26</v>
      </c>
      <c r="C38" s="29"/>
      <c r="D38" s="29"/>
      <c r="E38" s="29"/>
      <c r="F38" s="50"/>
      <c r="G38" s="29"/>
      <c r="H38" s="50"/>
      <c r="I38" s="29"/>
      <c r="J38" s="29"/>
      <c r="K38" s="29"/>
      <c r="L38" s="51">
        <f>(H28+F28)/(D28)</f>
        <v>0.4084507042253521</v>
      </c>
      <c r="M38" s="29"/>
      <c r="N38" s="6"/>
    </row>
    <row r="39" spans="1:14" ht="15.75">
      <c r="A39" s="28"/>
      <c r="B39" s="29" t="s">
        <v>27</v>
      </c>
      <c r="C39" s="29"/>
      <c r="D39" s="50"/>
      <c r="E39" s="29"/>
      <c r="F39" s="50"/>
      <c r="G39" s="29"/>
      <c r="H39" s="50"/>
      <c r="I39" s="29"/>
      <c r="J39" s="29"/>
      <c r="K39" s="29"/>
      <c r="L39" s="51">
        <f>(H30+F30)/(D30)</f>
        <v>0.4084507042253521</v>
      </c>
      <c r="M39" s="29"/>
      <c r="N39" s="6"/>
    </row>
    <row r="40" spans="1:14" ht="15.75">
      <c r="A40" s="28"/>
      <c r="B40" s="29" t="s">
        <v>28</v>
      </c>
      <c r="C40" s="29"/>
      <c r="D40" s="29"/>
      <c r="E40" s="29"/>
      <c r="F40" s="50"/>
      <c r="G40" s="29"/>
      <c r="H40" s="50"/>
      <c r="I40" s="29"/>
      <c r="J40" s="36" t="s">
        <v>142</v>
      </c>
      <c r="K40" s="36" t="s">
        <v>185</v>
      </c>
      <c r="L40" s="37">
        <v>38766</v>
      </c>
      <c r="M40" s="29"/>
      <c r="N40" s="6"/>
    </row>
    <row r="41" spans="1:14" ht="15.75">
      <c r="A41" s="28"/>
      <c r="B41" s="29"/>
      <c r="C41" s="29"/>
      <c r="D41" s="50"/>
      <c r="E41" s="29"/>
      <c r="F41" s="50"/>
      <c r="G41" s="29"/>
      <c r="H41" s="29"/>
      <c r="I41" s="29"/>
      <c r="J41" s="29" t="s">
        <v>177</v>
      </c>
      <c r="K41" s="29"/>
      <c r="L41" s="54"/>
      <c r="M41" s="29"/>
      <c r="N41" s="6"/>
    </row>
    <row r="42" spans="1:14" ht="15.75">
      <c r="A42" s="28"/>
      <c r="B42" s="29" t="s">
        <v>29</v>
      </c>
      <c r="C42" s="29"/>
      <c r="D42" s="29"/>
      <c r="E42" s="29"/>
      <c r="F42" s="29"/>
      <c r="G42" s="29"/>
      <c r="H42" s="29"/>
      <c r="I42" s="29"/>
      <c r="J42" s="36"/>
      <c r="K42" s="36"/>
      <c r="L42" s="36" t="s">
        <v>187</v>
      </c>
      <c r="M42" s="29"/>
      <c r="N42" s="6"/>
    </row>
    <row r="43" spans="1:14" ht="15.75">
      <c r="A43" s="43"/>
      <c r="B43" s="33" t="s">
        <v>30</v>
      </c>
      <c r="C43" s="33"/>
      <c r="D43" s="33"/>
      <c r="E43" s="33"/>
      <c r="F43" s="33"/>
      <c r="G43" s="33"/>
      <c r="H43" s="33"/>
      <c r="I43" s="33"/>
      <c r="J43" s="55"/>
      <c r="K43" s="55"/>
      <c r="L43" s="56">
        <v>37879</v>
      </c>
      <c r="M43" s="33"/>
      <c r="N43" s="6"/>
    </row>
    <row r="44" spans="1:14" ht="15.75">
      <c r="A44" s="28"/>
      <c r="B44" s="29" t="s">
        <v>31</v>
      </c>
      <c r="C44" s="29"/>
      <c r="D44" s="29"/>
      <c r="E44" s="29"/>
      <c r="F44" s="29"/>
      <c r="G44" s="29"/>
      <c r="H44" s="32"/>
      <c r="I44" s="29">
        <f>L44-J44+1</f>
        <v>91</v>
      </c>
      <c r="J44" s="58">
        <v>37697</v>
      </c>
      <c r="K44" s="59"/>
      <c r="L44" s="58">
        <v>37787</v>
      </c>
      <c r="M44" s="29"/>
      <c r="N44" s="6"/>
    </row>
    <row r="45" spans="1:14" ht="15.75">
      <c r="A45" s="28"/>
      <c r="B45" s="29" t="s">
        <v>32</v>
      </c>
      <c r="C45" s="29"/>
      <c r="D45" s="29"/>
      <c r="E45" s="29"/>
      <c r="F45" s="29"/>
      <c r="G45" s="29"/>
      <c r="H45" s="32"/>
      <c r="I45" s="29">
        <f>L45-J45+1</f>
        <v>91</v>
      </c>
      <c r="J45" s="58">
        <v>37788</v>
      </c>
      <c r="K45" s="59"/>
      <c r="L45" s="58">
        <v>37878</v>
      </c>
      <c r="M45" s="29"/>
      <c r="N45" s="6"/>
    </row>
    <row r="46" spans="1:14" ht="15.75">
      <c r="A46" s="28"/>
      <c r="B46" s="29" t="s">
        <v>33</v>
      </c>
      <c r="C46" s="29"/>
      <c r="D46" s="29"/>
      <c r="E46" s="29"/>
      <c r="F46" s="29"/>
      <c r="G46" s="29"/>
      <c r="H46" s="29"/>
      <c r="I46" s="29"/>
      <c r="J46" s="58"/>
      <c r="K46" s="59"/>
      <c r="L46" s="58" t="s">
        <v>188</v>
      </c>
      <c r="M46" s="29"/>
      <c r="N46" s="6"/>
    </row>
    <row r="47" spans="1:14" ht="15.75">
      <c r="A47" s="28"/>
      <c r="B47" s="29" t="s">
        <v>34</v>
      </c>
      <c r="C47" s="29"/>
      <c r="D47" s="29"/>
      <c r="E47" s="29"/>
      <c r="F47" s="29"/>
      <c r="G47" s="29"/>
      <c r="H47" s="29"/>
      <c r="I47" s="29"/>
      <c r="J47" s="58"/>
      <c r="K47" s="59"/>
      <c r="L47" s="58">
        <v>37869</v>
      </c>
      <c r="M47" s="29"/>
      <c r="N47" s="6"/>
    </row>
    <row r="48" spans="1:14" ht="15.75">
      <c r="A48" s="28"/>
      <c r="B48" s="29"/>
      <c r="C48" s="29"/>
      <c r="D48" s="29"/>
      <c r="E48" s="29"/>
      <c r="F48" s="29"/>
      <c r="G48" s="29"/>
      <c r="H48" s="29"/>
      <c r="I48" s="29"/>
      <c r="J48" s="29"/>
      <c r="K48" s="29"/>
      <c r="L48" s="60"/>
      <c r="M48" s="29"/>
      <c r="N48" s="6"/>
    </row>
    <row r="49" spans="1:14" ht="15.75">
      <c r="A49" s="7"/>
      <c r="B49" s="9"/>
      <c r="C49" s="9"/>
      <c r="D49" s="9"/>
      <c r="E49" s="9"/>
      <c r="F49" s="9"/>
      <c r="G49" s="9"/>
      <c r="H49" s="9"/>
      <c r="I49" s="9"/>
      <c r="J49" s="9"/>
      <c r="K49" s="9"/>
      <c r="L49" s="61"/>
      <c r="M49" s="9"/>
      <c r="N49" s="6"/>
    </row>
    <row r="50" spans="1:14" ht="16.5" thickBot="1">
      <c r="A50" s="144"/>
      <c r="B50" s="145" t="s">
        <v>199</v>
      </c>
      <c r="C50" s="146"/>
      <c r="D50" s="146"/>
      <c r="E50" s="146"/>
      <c r="F50" s="146"/>
      <c r="G50" s="146"/>
      <c r="H50" s="146"/>
      <c r="I50" s="146"/>
      <c r="J50" s="146"/>
      <c r="K50" s="146"/>
      <c r="L50" s="147"/>
      <c r="M50" s="148"/>
      <c r="N50" s="6"/>
    </row>
    <row r="51" spans="1:14" ht="15.75">
      <c r="A51" s="2"/>
      <c r="B51" s="5"/>
      <c r="C51" s="5"/>
      <c r="D51" s="5"/>
      <c r="E51" s="5"/>
      <c r="F51" s="5"/>
      <c r="G51" s="5"/>
      <c r="H51" s="5"/>
      <c r="I51" s="5"/>
      <c r="J51" s="5"/>
      <c r="K51" s="5"/>
      <c r="L51" s="62"/>
      <c r="M51" s="5"/>
      <c r="N51" s="6"/>
    </row>
    <row r="52" spans="1:14" ht="15.75">
      <c r="A52" s="7"/>
      <c r="B52" s="63" t="s">
        <v>36</v>
      </c>
      <c r="C52" s="15"/>
      <c r="D52" s="9"/>
      <c r="E52" s="9"/>
      <c r="F52" s="9"/>
      <c r="G52" s="9"/>
      <c r="H52" s="9"/>
      <c r="I52" s="9"/>
      <c r="J52" s="9"/>
      <c r="K52" s="9"/>
      <c r="L52" s="64"/>
      <c r="M52" s="9"/>
      <c r="N52" s="6"/>
    </row>
    <row r="53" spans="1:14" ht="15.75">
      <c r="A53" s="7"/>
      <c r="B53" s="15"/>
      <c r="C53" s="15"/>
      <c r="D53" s="9"/>
      <c r="E53" s="9"/>
      <c r="F53" s="9"/>
      <c r="G53" s="9"/>
      <c r="H53" s="9"/>
      <c r="I53" s="9"/>
      <c r="J53" s="9"/>
      <c r="K53" s="9"/>
      <c r="L53" s="64"/>
      <c r="M53" s="9"/>
      <c r="N53" s="6"/>
    </row>
    <row r="54" spans="1:14" ht="47.25">
      <c r="A54" s="7"/>
      <c r="B54" s="65"/>
      <c r="C54" s="162" t="s">
        <v>139</v>
      </c>
      <c r="D54" s="162" t="s">
        <v>149</v>
      </c>
      <c r="E54" s="162"/>
      <c r="F54" s="162" t="s">
        <v>164</v>
      </c>
      <c r="G54" s="162"/>
      <c r="H54" s="162" t="s">
        <v>175</v>
      </c>
      <c r="I54" s="162"/>
      <c r="J54" s="162" t="s">
        <v>178</v>
      </c>
      <c r="K54" s="162"/>
      <c r="L54" s="163" t="s">
        <v>189</v>
      </c>
      <c r="M54" s="158"/>
      <c r="N54" s="6"/>
    </row>
    <row r="55" spans="1:14" ht="15.75">
      <c r="A55" s="28"/>
      <c r="B55" s="29" t="s">
        <v>37</v>
      </c>
      <c r="C55" s="66">
        <f>81776+9633</f>
        <v>91409</v>
      </c>
      <c r="D55" s="66">
        <v>76261</v>
      </c>
      <c r="E55" s="66"/>
      <c r="F55" s="66">
        <f>3467+3308+5+124+12+30</f>
        <v>6946</v>
      </c>
      <c r="G55" s="66"/>
      <c r="H55" s="66">
        <v>692</v>
      </c>
      <c r="I55" s="66"/>
      <c r="J55" s="66">
        <v>0</v>
      </c>
      <c r="K55" s="66"/>
      <c r="L55" s="67">
        <f>D55-F55+H55-J55</f>
        <v>70007</v>
      </c>
      <c r="M55" s="29"/>
      <c r="N55" s="6"/>
    </row>
    <row r="56" spans="1:14" ht="15.75">
      <c r="A56" s="28"/>
      <c r="B56" s="29" t="s">
        <v>38</v>
      </c>
      <c r="C56" s="66">
        <v>1</v>
      </c>
      <c r="D56" s="66">
        <v>0</v>
      </c>
      <c r="E56" s="66"/>
      <c r="F56" s="66"/>
      <c r="G56" s="66"/>
      <c r="H56" s="66">
        <v>0</v>
      </c>
      <c r="I56" s="66"/>
      <c r="J56" s="66">
        <v>0</v>
      </c>
      <c r="K56" s="66"/>
      <c r="L56" s="67">
        <f>D56-F56</f>
        <v>0</v>
      </c>
      <c r="M56" s="29"/>
      <c r="N56" s="6"/>
    </row>
    <row r="57" spans="1:14" ht="15.75">
      <c r="A57" s="28"/>
      <c r="B57" s="29"/>
      <c r="C57" s="66"/>
      <c r="D57" s="66"/>
      <c r="E57" s="66"/>
      <c r="F57" s="66"/>
      <c r="G57" s="66"/>
      <c r="H57" s="66"/>
      <c r="I57" s="66"/>
      <c r="J57" s="66"/>
      <c r="K57" s="66"/>
      <c r="L57" s="67"/>
      <c r="M57" s="29"/>
      <c r="N57" s="6"/>
    </row>
    <row r="58" spans="1:14" ht="15.75">
      <c r="A58" s="28"/>
      <c r="B58" s="29" t="s">
        <v>39</v>
      </c>
      <c r="C58" s="66">
        <f>59449+801</f>
        <v>60250</v>
      </c>
      <c r="D58" s="66">
        <v>29599</v>
      </c>
      <c r="E58" s="66"/>
      <c r="F58" s="66">
        <f>9280</f>
        <v>9280</v>
      </c>
      <c r="G58" s="66"/>
      <c r="H58" s="66">
        <v>5746</v>
      </c>
      <c r="I58" s="66"/>
      <c r="J58" s="66">
        <f>SUM(J55:J57)</f>
        <v>0</v>
      </c>
      <c r="K58" s="66"/>
      <c r="L58" s="67">
        <f>D58-F58+H58-J58</f>
        <v>26065</v>
      </c>
      <c r="M58" s="29"/>
      <c r="N58" s="6"/>
    </row>
    <row r="59" spans="1:14" ht="15.75">
      <c r="A59" s="28"/>
      <c r="B59" s="29" t="s">
        <v>38</v>
      </c>
      <c r="C59" s="66">
        <v>136</v>
      </c>
      <c r="D59" s="66"/>
      <c r="E59" s="66"/>
      <c r="F59" s="66"/>
      <c r="G59" s="66"/>
      <c r="H59" s="66">
        <v>0</v>
      </c>
      <c r="I59" s="66"/>
      <c r="J59" s="66">
        <v>0</v>
      </c>
      <c r="K59" s="66"/>
      <c r="L59" s="68"/>
      <c r="M59" s="29"/>
      <c r="N59" s="6"/>
    </row>
    <row r="60" spans="1:14" ht="15.75">
      <c r="A60" s="28"/>
      <c r="B60" s="69"/>
      <c r="C60" s="66"/>
      <c r="D60" s="66"/>
      <c r="E60" s="66"/>
      <c r="F60" s="70"/>
      <c r="G60" s="66"/>
      <c r="H60" s="66"/>
      <c r="I60" s="66"/>
      <c r="J60" s="66"/>
      <c r="K60" s="66"/>
      <c r="L60" s="68"/>
      <c r="M60" s="29"/>
      <c r="N60" s="6"/>
    </row>
    <row r="61" spans="1:14" ht="15.75">
      <c r="A61" s="28"/>
      <c r="B61" s="29" t="s">
        <v>40</v>
      </c>
      <c r="C61" s="66">
        <v>25730</v>
      </c>
      <c r="D61" s="66">
        <v>66203</v>
      </c>
      <c r="E61" s="66"/>
      <c r="F61" s="66">
        <f>10509+1+60</f>
        <v>10570</v>
      </c>
      <c r="G61" s="66"/>
      <c r="H61" s="66">
        <f>9476</f>
        <v>9476</v>
      </c>
      <c r="I61" s="66"/>
      <c r="J61" s="66">
        <v>0</v>
      </c>
      <c r="K61" s="66"/>
      <c r="L61" s="67">
        <f>D61-F61+H61-J61</f>
        <v>65109</v>
      </c>
      <c r="M61" s="29"/>
      <c r="N61" s="6"/>
    </row>
    <row r="62" spans="1:14" ht="15.75">
      <c r="A62" s="28"/>
      <c r="B62" s="29" t="s">
        <v>38</v>
      </c>
      <c r="C62" s="66">
        <v>260</v>
      </c>
      <c r="D62" s="67">
        <v>0</v>
      </c>
      <c r="E62" s="66"/>
      <c r="F62" s="66"/>
      <c r="G62" s="66"/>
      <c r="H62" s="66">
        <v>0</v>
      </c>
      <c r="I62" s="66"/>
      <c r="J62" s="66">
        <v>0</v>
      </c>
      <c r="K62" s="66"/>
      <c r="L62" s="67">
        <f>D62-F62+H62-J62</f>
        <v>0</v>
      </c>
      <c r="M62" s="29"/>
      <c r="N62" s="6"/>
    </row>
    <row r="63" spans="1:14" ht="15.75">
      <c r="A63" s="28"/>
      <c r="B63" s="29"/>
      <c r="C63" s="66"/>
      <c r="D63" s="67"/>
      <c r="E63" s="66"/>
      <c r="F63" s="66"/>
      <c r="G63" s="66"/>
      <c r="H63" s="66"/>
      <c r="I63" s="66"/>
      <c r="J63" s="66"/>
      <c r="K63" s="66"/>
      <c r="L63" s="67"/>
      <c r="M63" s="29"/>
      <c r="N63" s="6"/>
    </row>
    <row r="64" spans="1:14" ht="15.75">
      <c r="A64" s="28"/>
      <c r="B64" s="29" t="s">
        <v>41</v>
      </c>
      <c r="C64" s="66">
        <v>26410</v>
      </c>
      <c r="D64" s="67">
        <v>64547</v>
      </c>
      <c r="E64" s="66"/>
      <c r="F64" s="66">
        <f>9577+66+155</f>
        <v>9798</v>
      </c>
      <c r="G64" s="66"/>
      <c r="H64" s="66">
        <v>1176</v>
      </c>
      <c r="I64" s="66"/>
      <c r="J64" s="66">
        <v>0</v>
      </c>
      <c r="K64" s="66"/>
      <c r="L64" s="67">
        <f>D64-F64+H64-J64</f>
        <v>55925</v>
      </c>
      <c r="M64" s="29"/>
      <c r="N64" s="6"/>
    </row>
    <row r="65" spans="1:14" ht="15.75">
      <c r="A65" s="28"/>
      <c r="B65" s="29" t="s">
        <v>38</v>
      </c>
      <c r="C65" s="66">
        <v>229</v>
      </c>
      <c r="D65" s="67"/>
      <c r="E65" s="66"/>
      <c r="F65" s="66"/>
      <c r="G65" s="66"/>
      <c r="H65" s="66">
        <v>0</v>
      </c>
      <c r="I65" s="66"/>
      <c r="J65" s="66">
        <v>0</v>
      </c>
      <c r="K65" s="66"/>
      <c r="L65" s="67"/>
      <c r="M65" s="29"/>
      <c r="N65" s="6"/>
    </row>
    <row r="66" spans="1:14" ht="15.75">
      <c r="A66" s="28"/>
      <c r="B66" s="66"/>
      <c r="C66" s="66"/>
      <c r="D66" s="67"/>
      <c r="E66" s="66"/>
      <c r="F66" s="66"/>
      <c r="G66" s="66"/>
      <c r="H66" s="66"/>
      <c r="I66" s="66"/>
      <c r="J66" s="66"/>
      <c r="K66" s="66"/>
      <c r="L66" s="67"/>
      <c r="M66" s="29"/>
      <c r="N66" s="6"/>
    </row>
    <row r="67" spans="1:14" ht="15.75">
      <c r="A67" s="28"/>
      <c r="B67" s="29" t="s">
        <v>42</v>
      </c>
      <c r="C67" s="66">
        <f>SUM(C55:C65)</f>
        <v>204425</v>
      </c>
      <c r="D67" s="66">
        <f>SUM(D55:D64)</f>
        <v>236610</v>
      </c>
      <c r="E67" s="66"/>
      <c r="F67" s="66">
        <f>SUM(F55:F65)</f>
        <v>36594</v>
      </c>
      <c r="G67" s="66"/>
      <c r="H67" s="66">
        <f>SUM(H55:H65)</f>
        <v>17090</v>
      </c>
      <c r="I67" s="66"/>
      <c r="J67" s="66">
        <f>SUM(J62:J66)</f>
        <v>0</v>
      </c>
      <c r="K67" s="66"/>
      <c r="L67" s="66">
        <f>SUM(L55:L66)</f>
        <v>217106</v>
      </c>
      <c r="M67" s="29"/>
      <c r="N67" s="6"/>
    </row>
    <row r="68" spans="1:14" ht="15.75">
      <c r="A68" s="28"/>
      <c r="B68" s="29"/>
      <c r="C68" s="66"/>
      <c r="D68" s="68"/>
      <c r="E68" s="66"/>
      <c r="F68" s="66"/>
      <c r="G68" s="66"/>
      <c r="H68" s="66"/>
      <c r="I68" s="66"/>
      <c r="J68" s="66"/>
      <c r="K68" s="66"/>
      <c r="L68" s="68"/>
      <c r="M68" s="29"/>
      <c r="N68" s="6"/>
    </row>
    <row r="69" spans="1:14" ht="15.75">
      <c r="A69" s="28"/>
      <c r="B69" s="29" t="s">
        <v>43</v>
      </c>
      <c r="C69" s="66">
        <f>-1789-10434</f>
        <v>-12223</v>
      </c>
      <c r="D69" s="66">
        <v>-26393</v>
      </c>
      <c r="E69" s="66"/>
      <c r="F69" s="66">
        <v>448</v>
      </c>
      <c r="G69" s="66"/>
      <c r="H69" s="66"/>
      <c r="I69" s="66"/>
      <c r="J69" s="66"/>
      <c r="K69" s="66"/>
      <c r="L69" s="66">
        <f>D69-F69</f>
        <v>-26841</v>
      </c>
      <c r="M69" s="29"/>
      <c r="N69" s="6"/>
    </row>
    <row r="70" spans="1:15" ht="15.75">
      <c r="A70" s="28"/>
      <c r="B70" s="29" t="s">
        <v>44</v>
      </c>
      <c r="C70" s="66">
        <v>58798</v>
      </c>
      <c r="D70" s="68">
        <v>40783</v>
      </c>
      <c r="E70" s="66"/>
      <c r="F70" s="66">
        <f>SUM(F67:F69)</f>
        <v>37042</v>
      </c>
      <c r="G70" s="66"/>
      <c r="H70" s="66">
        <f>-H67</f>
        <v>-17090</v>
      </c>
      <c r="I70" s="66"/>
      <c r="J70" s="66"/>
      <c r="K70" s="66"/>
      <c r="L70" s="68">
        <f>D70+F70+H70+D73</f>
        <v>60735</v>
      </c>
      <c r="M70" s="29"/>
      <c r="N70" s="6"/>
      <c r="O70" s="72"/>
    </row>
    <row r="71" spans="1:14" ht="15.75">
      <c r="A71" s="28"/>
      <c r="B71" s="29" t="s">
        <v>45</v>
      </c>
      <c r="C71" s="66">
        <v>0</v>
      </c>
      <c r="D71" s="68">
        <v>0</v>
      </c>
      <c r="E71" s="66"/>
      <c r="F71" s="66"/>
      <c r="G71" s="66"/>
      <c r="H71" s="66">
        <v>0</v>
      </c>
      <c r="I71" s="66"/>
      <c r="J71" s="66"/>
      <c r="K71" s="66"/>
      <c r="L71" s="68">
        <f>H71+D71</f>
        <v>0</v>
      </c>
      <c r="M71" s="29"/>
      <c r="N71" s="6"/>
    </row>
    <row r="72" spans="1:14" ht="15.75">
      <c r="A72" s="28"/>
      <c r="B72" s="29" t="s">
        <v>46</v>
      </c>
      <c r="C72" s="66">
        <v>0</v>
      </c>
      <c r="D72" s="68">
        <v>0</v>
      </c>
      <c r="E72" s="66"/>
      <c r="F72" s="66">
        <v>0</v>
      </c>
      <c r="G72" s="66"/>
      <c r="H72" s="66"/>
      <c r="I72" s="66"/>
      <c r="J72" s="66"/>
      <c r="K72" s="66"/>
      <c r="L72" s="68">
        <f>D72+F72+H72</f>
        <v>0</v>
      </c>
      <c r="M72" s="29"/>
      <c r="N72" s="6"/>
    </row>
    <row r="73" spans="1:14" ht="15.75">
      <c r="A73" s="28"/>
      <c r="B73" s="29" t="s">
        <v>47</v>
      </c>
      <c r="C73" s="66">
        <v>0</v>
      </c>
      <c r="D73" s="68">
        <v>0</v>
      </c>
      <c r="E73" s="66"/>
      <c r="F73" s="66"/>
      <c r="G73" s="66"/>
      <c r="H73" s="156"/>
      <c r="I73" s="66"/>
      <c r="J73" s="66"/>
      <c r="K73" s="66"/>
      <c r="L73" s="68">
        <v>0</v>
      </c>
      <c r="M73" s="29"/>
      <c r="N73" s="6"/>
    </row>
    <row r="74" spans="1:14" ht="15.75">
      <c r="A74" s="28"/>
      <c r="B74" s="29" t="s">
        <v>19</v>
      </c>
      <c r="C74" s="68">
        <f>SUM(C67:C73)</f>
        <v>251000</v>
      </c>
      <c r="D74" s="68">
        <f>SUM(D67:D73)</f>
        <v>251000</v>
      </c>
      <c r="E74" s="66"/>
      <c r="F74" s="66">
        <f>F70-F73-F72</f>
        <v>37042</v>
      </c>
      <c r="G74" s="66"/>
      <c r="H74" s="66"/>
      <c r="I74" s="66"/>
      <c r="J74" s="66"/>
      <c r="K74" s="66"/>
      <c r="L74" s="68">
        <f>SUM(L67:L73)</f>
        <v>251000</v>
      </c>
      <c r="M74" s="29"/>
      <c r="N74" s="6"/>
    </row>
    <row r="75" spans="1:14" ht="15.75">
      <c r="A75" s="28"/>
      <c r="B75" s="66"/>
      <c r="C75" s="29"/>
      <c r="D75" s="29"/>
      <c r="E75" s="29"/>
      <c r="F75" s="29"/>
      <c r="G75" s="29"/>
      <c r="H75" s="29"/>
      <c r="I75" s="29"/>
      <c r="J75" s="36"/>
      <c r="K75" s="29"/>
      <c r="L75" s="36"/>
      <c r="M75" s="29"/>
      <c r="N75" s="6"/>
    </row>
    <row r="76" spans="1:14" ht="15.75">
      <c r="A76" s="7"/>
      <c r="B76" s="63" t="s">
        <v>48</v>
      </c>
      <c r="C76" s="16"/>
      <c r="D76" s="16"/>
      <c r="E76" s="16"/>
      <c r="F76" s="16"/>
      <c r="G76" s="16"/>
      <c r="H76" s="16"/>
      <c r="I76" s="19"/>
      <c r="J76" s="19"/>
      <c r="K76" s="19"/>
      <c r="L76" s="19" t="s">
        <v>190</v>
      </c>
      <c r="M76" s="16"/>
      <c r="N76" s="6"/>
    </row>
    <row r="77" spans="1:14" ht="15.75">
      <c r="A77" s="28"/>
      <c r="B77" s="29" t="s">
        <v>49</v>
      </c>
      <c r="C77" s="29"/>
      <c r="D77" s="29"/>
      <c r="E77" s="29"/>
      <c r="F77" s="29"/>
      <c r="G77" s="29"/>
      <c r="H77" s="29"/>
      <c r="I77" s="29"/>
      <c r="J77" s="66"/>
      <c r="K77" s="29"/>
      <c r="L77" s="67">
        <f>77484+36+2+5</f>
        <v>77527</v>
      </c>
      <c r="M77" s="29"/>
      <c r="N77" s="6"/>
    </row>
    <row r="78" spans="1:14" ht="15.75">
      <c r="A78" s="28"/>
      <c r="B78" s="29" t="s">
        <v>50</v>
      </c>
      <c r="C78" s="53"/>
      <c r="D78" s="57"/>
      <c r="E78" s="29"/>
      <c r="F78" s="29"/>
      <c r="G78" s="29"/>
      <c r="H78" s="29"/>
      <c r="I78" s="29"/>
      <c r="J78" s="66"/>
      <c r="K78" s="29"/>
      <c r="L78" s="67">
        <f>1036+210</f>
        <v>1246</v>
      </c>
      <c r="M78" s="29"/>
      <c r="N78" s="6"/>
    </row>
    <row r="79" spans="1:14" ht="15.75">
      <c r="A79" s="28"/>
      <c r="B79" s="29" t="s">
        <v>51</v>
      </c>
      <c r="C79" s="53"/>
      <c r="D79" s="57"/>
      <c r="E79" s="29"/>
      <c r="F79" s="29"/>
      <c r="G79" s="29"/>
      <c r="H79" s="29"/>
      <c r="I79" s="29"/>
      <c r="J79" s="66"/>
      <c r="K79" s="29"/>
      <c r="L79" s="67">
        <v>-10793</v>
      </c>
      <c r="M79" s="29"/>
      <c r="N79" s="6"/>
    </row>
    <row r="80" spans="1:14" ht="15.75">
      <c r="A80" s="28"/>
      <c r="B80" s="29" t="s">
        <v>192</v>
      </c>
      <c r="C80" s="53"/>
      <c r="D80" s="57"/>
      <c r="E80" s="29"/>
      <c r="F80" s="29"/>
      <c r="G80" s="29"/>
      <c r="H80" s="29"/>
      <c r="I80" s="29"/>
      <c r="J80" s="66"/>
      <c r="K80" s="29"/>
      <c r="L80" s="67">
        <v>-32</v>
      </c>
      <c r="M80" s="29"/>
      <c r="N80" s="6"/>
    </row>
    <row r="81" spans="1:14" ht="15.75">
      <c r="A81" s="28"/>
      <c r="B81" s="29" t="s">
        <v>52</v>
      </c>
      <c r="C81" s="29"/>
      <c r="D81" s="29"/>
      <c r="E81" s="29"/>
      <c r="F81" s="29"/>
      <c r="G81" s="29"/>
      <c r="H81" s="29"/>
      <c r="I81" s="29"/>
      <c r="J81" s="66"/>
      <c r="K81" s="29"/>
      <c r="L81" s="67">
        <v>0</v>
      </c>
      <c r="M81" s="29"/>
      <c r="N81" s="6"/>
    </row>
    <row r="82" spans="1:14" ht="15.75">
      <c r="A82" s="28"/>
      <c r="B82" s="29" t="s">
        <v>53</v>
      </c>
      <c r="C82" s="29"/>
      <c r="D82" s="29"/>
      <c r="E82" s="29"/>
      <c r="F82" s="29"/>
      <c r="G82" s="29"/>
      <c r="H82" s="29"/>
      <c r="I82" s="29"/>
      <c r="J82" s="66"/>
      <c r="K82" s="29"/>
      <c r="L82" s="67">
        <f>SUM(L77:L81)</f>
        <v>67948</v>
      </c>
      <c r="M82" s="29"/>
      <c r="N82" s="6"/>
    </row>
    <row r="83" spans="1:14" ht="15.75">
      <c r="A83" s="28"/>
      <c r="B83" s="29"/>
      <c r="C83" s="29"/>
      <c r="D83" s="29"/>
      <c r="E83" s="29"/>
      <c r="F83" s="29"/>
      <c r="G83" s="29"/>
      <c r="H83" s="29"/>
      <c r="I83" s="29"/>
      <c r="J83" s="66"/>
      <c r="K83" s="29"/>
      <c r="L83" s="68"/>
      <c r="M83" s="29"/>
      <c r="N83" s="6"/>
    </row>
    <row r="84" spans="1:14" ht="15.75">
      <c r="A84" s="28"/>
      <c r="B84" s="164" t="s">
        <v>54</v>
      </c>
      <c r="C84" s="73"/>
      <c r="D84" s="29"/>
      <c r="E84" s="29"/>
      <c r="F84" s="29"/>
      <c r="G84" s="29"/>
      <c r="H84" s="29"/>
      <c r="I84" s="29"/>
      <c r="J84" s="66"/>
      <c r="K84" s="29"/>
      <c r="L84" s="67"/>
      <c r="M84" s="29"/>
      <c r="N84" s="6"/>
    </row>
    <row r="85" spans="1:14" ht="15.75">
      <c r="A85" s="28">
        <v>1</v>
      </c>
      <c r="B85" s="29" t="s">
        <v>55</v>
      </c>
      <c r="C85" s="29"/>
      <c r="D85" s="29"/>
      <c r="E85" s="29"/>
      <c r="F85" s="29"/>
      <c r="G85" s="29"/>
      <c r="H85" s="29"/>
      <c r="I85" s="29"/>
      <c r="J85" s="29"/>
      <c r="K85" s="29"/>
      <c r="L85" s="67">
        <v>-4</v>
      </c>
      <c r="M85" s="29"/>
      <c r="N85" s="6"/>
    </row>
    <row r="86" spans="1:14" ht="15.75">
      <c r="A86" s="28">
        <f aca="true" t="shared" si="0" ref="A86:A94">A85+1</f>
        <v>2</v>
      </c>
      <c r="B86" s="29" t="s">
        <v>56</v>
      </c>
      <c r="C86" s="29"/>
      <c r="D86" s="29"/>
      <c r="E86" s="29"/>
      <c r="F86" s="29"/>
      <c r="G86" s="29"/>
      <c r="H86" s="29"/>
      <c r="I86" s="29"/>
      <c r="J86" s="29"/>
      <c r="K86" s="29"/>
      <c r="L86" s="67">
        <f>-509-85</f>
        <v>-594</v>
      </c>
      <c r="M86" s="29"/>
      <c r="N86" s="6"/>
    </row>
    <row r="87" spans="1:14" ht="15.75">
      <c r="A87" s="28">
        <f t="shared" si="0"/>
        <v>3</v>
      </c>
      <c r="B87" s="29" t="s">
        <v>57</v>
      </c>
      <c r="C87" s="29"/>
      <c r="D87" s="29"/>
      <c r="E87" s="29"/>
      <c r="F87" s="29"/>
      <c r="G87" s="29"/>
      <c r="H87" s="29"/>
      <c r="I87" s="29"/>
      <c r="J87" s="29"/>
      <c r="K87" s="29"/>
      <c r="L87" s="67">
        <v>-351</v>
      </c>
      <c r="M87" s="29"/>
      <c r="N87" s="6"/>
    </row>
    <row r="88" spans="1:14" ht="15.75">
      <c r="A88" s="28">
        <f t="shared" si="0"/>
        <v>4</v>
      </c>
      <c r="B88" s="29" t="s">
        <v>58</v>
      </c>
      <c r="C88" s="29"/>
      <c r="D88" s="29"/>
      <c r="E88" s="29"/>
      <c r="F88" s="29"/>
      <c r="G88" s="29"/>
      <c r="H88" s="29"/>
      <c r="I88" s="29"/>
      <c r="J88" s="29"/>
      <c r="K88" s="29"/>
      <c r="L88" s="67">
        <v>-1744</v>
      </c>
      <c r="M88" s="29"/>
      <c r="N88" s="6"/>
    </row>
    <row r="89" spans="1:14" ht="15.75">
      <c r="A89" s="28">
        <f t="shared" si="0"/>
        <v>5</v>
      </c>
      <c r="B89" s="29" t="s">
        <v>59</v>
      </c>
      <c r="C89" s="29"/>
      <c r="D89" s="29"/>
      <c r="E89" s="29"/>
      <c r="F89" s="29"/>
      <c r="G89" s="29"/>
      <c r="H89" s="29"/>
      <c r="I89" s="29"/>
      <c r="J89" s="29"/>
      <c r="K89" s="29"/>
      <c r="L89" s="67">
        <v>-5</v>
      </c>
      <c r="M89" s="29"/>
      <c r="N89" s="6"/>
    </row>
    <row r="90" spans="1:14" ht="15.75">
      <c r="A90" s="28">
        <f t="shared" si="0"/>
        <v>6</v>
      </c>
      <c r="B90" s="29" t="s">
        <v>60</v>
      </c>
      <c r="C90" s="29"/>
      <c r="D90" s="29"/>
      <c r="E90" s="29"/>
      <c r="F90" s="29"/>
      <c r="G90" s="29"/>
      <c r="H90" s="29"/>
      <c r="I90" s="29"/>
      <c r="J90" s="29"/>
      <c r="K90" s="29"/>
      <c r="L90" s="67">
        <v>-575</v>
      </c>
      <c r="M90" s="29"/>
      <c r="N90" s="6"/>
    </row>
    <row r="91" spans="1:14" ht="15.75">
      <c r="A91" s="28">
        <f t="shared" si="0"/>
        <v>7</v>
      </c>
      <c r="B91" s="29" t="s">
        <v>61</v>
      </c>
      <c r="C91" s="29"/>
      <c r="D91" s="29"/>
      <c r="E91" s="29"/>
      <c r="F91" s="29"/>
      <c r="G91" s="29"/>
      <c r="H91" s="29"/>
      <c r="I91" s="29"/>
      <c r="J91" s="29"/>
      <c r="K91" s="29"/>
      <c r="L91" s="67">
        <v>-313</v>
      </c>
      <c r="M91" s="29"/>
      <c r="N91" s="6"/>
    </row>
    <row r="92" spans="1:14" ht="15.75">
      <c r="A92" s="28">
        <f t="shared" si="0"/>
        <v>8</v>
      </c>
      <c r="B92" s="29" t="s">
        <v>62</v>
      </c>
      <c r="C92" s="29"/>
      <c r="D92" s="29"/>
      <c r="E92" s="29"/>
      <c r="F92" s="29"/>
      <c r="G92" s="29"/>
      <c r="H92" s="29"/>
      <c r="I92" s="29"/>
      <c r="J92" s="29"/>
      <c r="K92" s="29"/>
      <c r="L92" s="67">
        <v>0</v>
      </c>
      <c r="M92" s="29"/>
      <c r="N92" s="6"/>
    </row>
    <row r="93" spans="1:14" ht="15.75">
      <c r="A93" s="28">
        <f t="shared" si="0"/>
        <v>9</v>
      </c>
      <c r="B93" s="29" t="s">
        <v>44</v>
      </c>
      <c r="C93" s="29"/>
      <c r="D93" s="29"/>
      <c r="E93" s="29"/>
      <c r="F93" s="29"/>
      <c r="G93" s="29"/>
      <c r="H93" s="29"/>
      <c r="I93" s="29"/>
      <c r="J93" s="66"/>
      <c r="K93" s="29"/>
      <c r="L93" s="67">
        <f>L82+SUM(L85:L91)-L94</f>
        <v>60736</v>
      </c>
      <c r="M93" s="29"/>
      <c r="N93" s="6"/>
    </row>
    <row r="94" spans="1:15" ht="15.75">
      <c r="A94" s="28">
        <f t="shared" si="0"/>
        <v>10</v>
      </c>
      <c r="B94" s="29" t="s">
        <v>63</v>
      </c>
      <c r="C94" s="29"/>
      <c r="D94" s="29"/>
      <c r="E94" s="29"/>
      <c r="F94" s="29"/>
      <c r="G94" s="29"/>
      <c r="H94" s="29"/>
      <c r="I94" s="29"/>
      <c r="J94" s="29"/>
      <c r="K94" s="29"/>
      <c r="L94" s="67">
        <f>J195+SUM(L82:L91)+J197-J200</f>
        <v>3626</v>
      </c>
      <c r="M94" s="29"/>
      <c r="N94" s="6"/>
      <c r="O94" s="72"/>
    </row>
    <row r="95" spans="1:14" ht="15.75">
      <c r="A95" s="28"/>
      <c r="B95" s="32"/>
      <c r="C95" s="29"/>
      <c r="D95" s="29"/>
      <c r="E95" s="29"/>
      <c r="F95" s="29"/>
      <c r="G95" s="29"/>
      <c r="H95" s="29"/>
      <c r="I95" s="29"/>
      <c r="J95" s="66"/>
      <c r="K95" s="66"/>
      <c r="L95" s="66"/>
      <c r="M95" s="29"/>
      <c r="N95" s="6"/>
    </row>
    <row r="96" spans="1:14" ht="15.75">
      <c r="A96" s="7"/>
      <c r="B96" s="14"/>
      <c r="C96" s="9"/>
      <c r="D96" s="9"/>
      <c r="E96" s="9"/>
      <c r="F96" s="9"/>
      <c r="G96" s="9"/>
      <c r="H96" s="9"/>
      <c r="I96" s="9"/>
      <c r="J96" s="74"/>
      <c r="K96" s="74"/>
      <c r="L96" s="74"/>
      <c r="M96" s="9"/>
      <c r="N96" s="6"/>
    </row>
    <row r="97" spans="1:14" ht="16.5" thickBot="1">
      <c r="A97" s="144"/>
      <c r="B97" s="145" t="str">
        <f>B50</f>
        <v>PPAF1 INVESTOR REPORT QUARTER ENDING AUGUST 2003</v>
      </c>
      <c r="C97" s="146"/>
      <c r="D97" s="146"/>
      <c r="E97" s="146"/>
      <c r="F97" s="146"/>
      <c r="G97" s="146"/>
      <c r="H97" s="146"/>
      <c r="I97" s="146"/>
      <c r="J97" s="149"/>
      <c r="K97" s="149"/>
      <c r="L97" s="149"/>
      <c r="M97" s="148"/>
      <c r="N97" s="6"/>
    </row>
    <row r="98" spans="1:14" ht="15.75">
      <c r="A98" s="2"/>
      <c r="B98" s="5"/>
      <c r="C98" s="5"/>
      <c r="D98" s="5"/>
      <c r="E98" s="5"/>
      <c r="F98" s="5"/>
      <c r="G98" s="5"/>
      <c r="H98" s="5"/>
      <c r="I98" s="5"/>
      <c r="J98" s="75"/>
      <c r="K98" s="75"/>
      <c r="L98" s="75"/>
      <c r="M98" s="5"/>
      <c r="N98" s="6"/>
    </row>
    <row r="99" spans="1:14" ht="15.75">
      <c r="A99" s="76"/>
      <c r="B99" s="77" t="s">
        <v>64</v>
      </c>
      <c r="C99" s="78"/>
      <c r="D99" s="78"/>
      <c r="E99" s="78"/>
      <c r="F99" s="78"/>
      <c r="G99" s="78"/>
      <c r="H99" s="78"/>
      <c r="I99" s="78"/>
      <c r="J99" s="78"/>
      <c r="K99" s="78"/>
      <c r="L99" s="79"/>
      <c r="M99" s="80"/>
      <c r="N99" s="6"/>
    </row>
    <row r="100" spans="1:14" ht="15.75">
      <c r="A100" s="76"/>
      <c r="B100" s="78"/>
      <c r="C100" s="78"/>
      <c r="D100" s="78"/>
      <c r="E100" s="78"/>
      <c r="F100" s="78"/>
      <c r="G100" s="78"/>
      <c r="H100" s="78"/>
      <c r="I100" s="78"/>
      <c r="J100" s="78"/>
      <c r="K100" s="78"/>
      <c r="L100" s="79"/>
      <c r="M100" s="78"/>
      <c r="N100" s="6"/>
    </row>
    <row r="101" spans="1:14" ht="15.75">
      <c r="A101" s="7"/>
      <c r="B101" s="165" t="s">
        <v>65</v>
      </c>
      <c r="C101" s="15"/>
      <c r="D101" s="9"/>
      <c r="E101" s="9"/>
      <c r="F101" s="9"/>
      <c r="G101" s="9"/>
      <c r="H101" s="9"/>
      <c r="I101" s="9"/>
      <c r="J101" s="9"/>
      <c r="K101" s="9"/>
      <c r="L101" s="64"/>
      <c r="M101" s="9"/>
      <c r="N101" s="6"/>
    </row>
    <row r="102" spans="1:14" ht="15.75">
      <c r="A102" s="28"/>
      <c r="B102" s="29" t="s">
        <v>66</v>
      </c>
      <c r="C102" s="29"/>
      <c r="D102" s="29"/>
      <c r="E102" s="29"/>
      <c r="F102" s="29"/>
      <c r="G102" s="29"/>
      <c r="H102" s="29"/>
      <c r="I102" s="29"/>
      <c r="J102" s="29"/>
      <c r="K102" s="29"/>
      <c r="L102" s="67">
        <f>10793+400</f>
        <v>11193</v>
      </c>
      <c r="M102" s="29"/>
      <c r="N102" s="6"/>
    </row>
    <row r="103" spans="1:14" ht="15.75">
      <c r="A103" s="28"/>
      <c r="B103" s="29" t="s">
        <v>67</v>
      </c>
      <c r="C103" s="29"/>
      <c r="D103" s="29"/>
      <c r="E103" s="29"/>
      <c r="F103" s="29"/>
      <c r="G103" s="29"/>
      <c r="H103" s="29"/>
      <c r="I103" s="29"/>
      <c r="J103" s="29"/>
      <c r="K103" s="29"/>
      <c r="L103" s="67">
        <v>10793</v>
      </c>
      <c r="M103" s="29"/>
      <c r="N103" s="6"/>
    </row>
    <row r="104" spans="1:14" ht="15.75">
      <c r="A104" s="28"/>
      <c r="B104" s="29" t="s">
        <v>68</v>
      </c>
      <c r="C104" s="29"/>
      <c r="D104" s="29"/>
      <c r="E104" s="29"/>
      <c r="F104" s="29"/>
      <c r="G104" s="29"/>
      <c r="H104" s="29"/>
      <c r="I104" s="29"/>
      <c r="J104" s="29"/>
      <c r="K104" s="29"/>
      <c r="L104" s="67">
        <v>0</v>
      </c>
      <c r="M104" s="29"/>
      <c r="N104" s="6"/>
    </row>
    <row r="105" spans="1:14" ht="15.75">
      <c r="A105" s="28"/>
      <c r="B105" s="29" t="s">
        <v>69</v>
      </c>
      <c r="C105" s="29"/>
      <c r="D105" s="29"/>
      <c r="E105" s="29"/>
      <c r="F105" s="29"/>
      <c r="G105" s="29"/>
      <c r="H105" s="29"/>
      <c r="I105" s="29"/>
      <c r="J105" s="29"/>
      <c r="K105" s="29"/>
      <c r="L105" s="67">
        <v>0</v>
      </c>
      <c r="M105" s="29"/>
      <c r="N105" s="6"/>
    </row>
    <row r="106" spans="1:14" ht="15.75">
      <c r="A106" s="28"/>
      <c r="B106" s="29" t="s">
        <v>70</v>
      </c>
      <c r="C106" s="29"/>
      <c r="D106" s="29"/>
      <c r="E106" s="29"/>
      <c r="F106" s="29"/>
      <c r="G106" s="29"/>
      <c r="H106" s="29"/>
      <c r="I106" s="29"/>
      <c r="J106" s="29"/>
      <c r="K106" s="29"/>
      <c r="L106" s="67">
        <v>0</v>
      </c>
      <c r="M106" s="29"/>
      <c r="N106" s="6"/>
    </row>
    <row r="107" spans="1:14" ht="15.75">
      <c r="A107" s="28"/>
      <c r="B107" s="29" t="s">
        <v>58</v>
      </c>
      <c r="C107" s="29"/>
      <c r="D107" s="29"/>
      <c r="E107" s="29"/>
      <c r="F107" s="29"/>
      <c r="G107" s="29"/>
      <c r="H107" s="29"/>
      <c r="I107" s="29"/>
      <c r="J107" s="29"/>
      <c r="K107" s="29"/>
      <c r="L107" s="67">
        <v>0</v>
      </c>
      <c r="M107" s="29"/>
      <c r="N107" s="6"/>
    </row>
    <row r="108" spans="1:14" ht="15.75">
      <c r="A108" s="28"/>
      <c r="B108" s="29" t="s">
        <v>60</v>
      </c>
      <c r="C108" s="29"/>
      <c r="D108" s="29"/>
      <c r="E108" s="29"/>
      <c r="F108" s="29"/>
      <c r="G108" s="29"/>
      <c r="H108" s="29"/>
      <c r="I108" s="29"/>
      <c r="J108" s="29"/>
      <c r="K108" s="29"/>
      <c r="L108" s="67">
        <v>0</v>
      </c>
      <c r="M108" s="29"/>
      <c r="N108" s="6"/>
    </row>
    <row r="109" spans="1:14" ht="15.75">
      <c r="A109" s="28"/>
      <c r="B109" s="29" t="s">
        <v>61</v>
      </c>
      <c r="C109" s="29"/>
      <c r="D109" s="29"/>
      <c r="E109" s="29"/>
      <c r="F109" s="29"/>
      <c r="G109" s="29"/>
      <c r="H109" s="29"/>
      <c r="I109" s="29"/>
      <c r="J109" s="29"/>
      <c r="K109" s="29"/>
      <c r="L109" s="67">
        <v>0</v>
      </c>
      <c r="M109" s="29"/>
      <c r="N109" s="6"/>
    </row>
    <row r="110" spans="1:14" ht="15.75">
      <c r="A110" s="28"/>
      <c r="B110" s="29" t="s">
        <v>71</v>
      </c>
      <c r="C110" s="29"/>
      <c r="D110" s="29"/>
      <c r="E110" s="29"/>
      <c r="F110" s="29"/>
      <c r="G110" s="29"/>
      <c r="H110" s="29"/>
      <c r="I110" s="29"/>
      <c r="J110" s="29"/>
      <c r="K110" s="29"/>
      <c r="L110" s="67">
        <f>L103</f>
        <v>10793</v>
      </c>
      <c r="M110" s="29"/>
      <c r="N110" s="6"/>
    </row>
    <row r="111" spans="1:14" ht="15.75">
      <c r="A111" s="28"/>
      <c r="B111" s="29"/>
      <c r="C111" s="29"/>
      <c r="D111" s="29"/>
      <c r="E111" s="29"/>
      <c r="F111" s="29"/>
      <c r="G111" s="29"/>
      <c r="H111" s="29"/>
      <c r="I111" s="29"/>
      <c r="J111" s="29"/>
      <c r="K111" s="29"/>
      <c r="L111" s="81"/>
      <c r="M111" s="29"/>
      <c r="N111" s="6"/>
    </row>
    <row r="112" spans="1:14" ht="15.75">
      <c r="A112" s="7"/>
      <c r="B112" s="165" t="s">
        <v>72</v>
      </c>
      <c r="C112" s="15"/>
      <c r="D112" s="9"/>
      <c r="E112" s="9"/>
      <c r="F112" s="9"/>
      <c r="G112" s="157"/>
      <c r="H112" s="9"/>
      <c r="I112" s="9"/>
      <c r="J112" s="9"/>
      <c r="K112" s="9"/>
      <c r="L112" s="83"/>
      <c r="M112" s="9"/>
      <c r="N112" s="6"/>
    </row>
    <row r="113" spans="1:14" ht="15.75">
      <c r="A113" s="7"/>
      <c r="B113" s="15"/>
      <c r="C113" s="19" t="s">
        <v>140</v>
      </c>
      <c r="D113" s="19" t="s">
        <v>150</v>
      </c>
      <c r="E113" s="19" t="s">
        <v>156</v>
      </c>
      <c r="F113" s="19" t="s">
        <v>165</v>
      </c>
      <c r="G113" s="157"/>
      <c r="H113" s="157"/>
      <c r="I113" s="9"/>
      <c r="J113" s="9"/>
      <c r="K113" s="9"/>
      <c r="L113" s="83"/>
      <c r="M113" s="9"/>
      <c r="N113" s="6"/>
    </row>
    <row r="114" spans="1:14" ht="15.75">
      <c r="A114" s="28"/>
      <c r="B114" s="29" t="s">
        <v>73</v>
      </c>
      <c r="C114" s="66">
        <f>E178-'May 03'!E178</f>
        <v>198</v>
      </c>
      <c r="D114" s="66">
        <f>J178-'May 03'!J178</f>
        <v>215</v>
      </c>
      <c r="E114" s="66">
        <f>E188-'May 03'!E188</f>
        <v>-7</v>
      </c>
      <c r="F114" s="66">
        <f>J188-'May 03'!J188</f>
        <v>42</v>
      </c>
      <c r="G114" s="156"/>
      <c r="H114" s="156"/>
      <c r="I114" s="29"/>
      <c r="J114" s="29"/>
      <c r="K114" s="29"/>
      <c r="L114" s="67">
        <f>SUM(C114:F114)</f>
        <v>448</v>
      </c>
      <c r="M114" s="29"/>
      <c r="N114" s="6"/>
    </row>
    <row r="115" spans="1:14" ht="15.75">
      <c r="A115" s="28"/>
      <c r="B115" s="29" t="s">
        <v>74</v>
      </c>
      <c r="C115" s="29">
        <v>171</v>
      </c>
      <c r="D115" s="29">
        <v>45</v>
      </c>
      <c r="E115" s="29">
        <v>61</v>
      </c>
      <c r="F115" s="29">
        <v>221</v>
      </c>
      <c r="G115" s="156"/>
      <c r="H115" s="156"/>
      <c r="I115" s="29"/>
      <c r="J115" s="29"/>
      <c r="K115" s="29"/>
      <c r="L115" s="67">
        <f>SUM(C115:F115)</f>
        <v>498</v>
      </c>
      <c r="M115" s="29"/>
      <c r="N115" s="6"/>
    </row>
    <row r="116" spans="1:14" ht="15.75">
      <c r="A116" s="28"/>
      <c r="B116" s="29" t="s">
        <v>75</v>
      </c>
      <c r="C116" s="29"/>
      <c r="D116" s="29"/>
      <c r="E116" s="29"/>
      <c r="F116" s="29"/>
      <c r="G116" s="29"/>
      <c r="H116" s="29"/>
      <c r="I116" s="29"/>
      <c r="J116" s="29"/>
      <c r="K116" s="29"/>
      <c r="L116" s="67">
        <f>SUM(L114:L115)</f>
        <v>946</v>
      </c>
      <c r="M116" s="29"/>
      <c r="N116" s="6"/>
    </row>
    <row r="117" spans="1:14" ht="15.75">
      <c r="A117" s="28"/>
      <c r="B117" s="29" t="s">
        <v>76</v>
      </c>
      <c r="C117" s="66">
        <v>106</v>
      </c>
      <c r="D117" s="29"/>
      <c r="E117" s="29"/>
      <c r="F117" s="29"/>
      <c r="G117" s="29"/>
      <c r="H117" s="29"/>
      <c r="I117" s="29"/>
      <c r="J117" s="29"/>
      <c r="K117" s="29"/>
      <c r="L117" s="85"/>
      <c r="M117" s="29"/>
      <c r="N117" s="6"/>
    </row>
    <row r="118" spans="1:14" ht="15.75">
      <c r="A118" s="7"/>
      <c r="B118" s="165" t="s">
        <v>77</v>
      </c>
      <c r="C118" s="15"/>
      <c r="D118" s="9"/>
      <c r="E118" s="9"/>
      <c r="F118" s="9"/>
      <c r="G118" s="9"/>
      <c r="H118" s="9"/>
      <c r="I118" s="9"/>
      <c r="J118" s="9"/>
      <c r="K118" s="9"/>
      <c r="L118" s="64"/>
      <c r="M118" s="9"/>
      <c r="N118" s="6"/>
    </row>
    <row r="119" spans="1:14" ht="15.75">
      <c r="A119" s="28"/>
      <c r="B119" s="29" t="s">
        <v>78</v>
      </c>
      <c r="C119" s="143"/>
      <c r="D119" s="143"/>
      <c r="E119" s="143"/>
      <c r="F119" s="143"/>
      <c r="G119" s="29"/>
      <c r="H119" s="29"/>
      <c r="I119" s="29"/>
      <c r="J119" s="29"/>
      <c r="K119" s="29"/>
      <c r="L119" s="67">
        <f>L67</f>
        <v>217106</v>
      </c>
      <c r="M119" s="29"/>
      <c r="N119" s="6"/>
    </row>
    <row r="120" spans="1:14" ht="15.75">
      <c r="A120" s="28"/>
      <c r="B120" s="29" t="s">
        <v>79</v>
      </c>
      <c r="C120" s="86"/>
      <c r="D120" s="29"/>
      <c r="E120" s="29"/>
      <c r="F120" s="29"/>
      <c r="G120" s="29"/>
      <c r="H120" s="29"/>
      <c r="I120" s="29"/>
      <c r="J120" s="29"/>
      <c r="K120" s="29"/>
      <c r="L120" s="67">
        <f>L70</f>
        <v>60735</v>
      </c>
      <c r="M120" s="29"/>
      <c r="N120" s="6"/>
    </row>
    <row r="121" spans="1:15" ht="15.75">
      <c r="A121" s="28"/>
      <c r="B121" s="29" t="s">
        <v>80</v>
      </c>
      <c r="C121" s="86"/>
      <c r="D121" s="29"/>
      <c r="E121" s="29"/>
      <c r="F121" s="29"/>
      <c r="G121" s="29"/>
      <c r="H121" s="29"/>
      <c r="I121" s="29"/>
      <c r="J121" s="29"/>
      <c r="K121" s="29"/>
      <c r="L121" s="67">
        <f>L120+L119+L72+L73</f>
        <v>277841</v>
      </c>
      <c r="M121" s="29"/>
      <c r="N121" s="6"/>
      <c r="O121" s="72"/>
    </row>
    <row r="122" spans="1:15" ht="15.75">
      <c r="A122" s="28"/>
      <c r="B122" s="29" t="s">
        <v>81</v>
      </c>
      <c r="C122" s="86"/>
      <c r="D122" s="29"/>
      <c r="E122" s="29"/>
      <c r="F122" s="29"/>
      <c r="G122" s="29"/>
      <c r="H122" s="29"/>
      <c r="I122" s="29"/>
      <c r="J122" s="29"/>
      <c r="K122" s="29"/>
      <c r="L122" s="67">
        <f>L74</f>
        <v>251000</v>
      </c>
      <c r="M122" s="29"/>
      <c r="N122" s="6"/>
      <c r="O122" s="72"/>
    </row>
    <row r="123" spans="1:14" ht="15.75">
      <c r="A123" s="28"/>
      <c r="B123" s="29"/>
      <c r="C123" s="29"/>
      <c r="D123" s="29"/>
      <c r="E123" s="29"/>
      <c r="F123" s="29"/>
      <c r="G123" s="29"/>
      <c r="H123" s="29"/>
      <c r="I123" s="29"/>
      <c r="J123" s="29"/>
      <c r="K123" s="29"/>
      <c r="L123" s="85"/>
      <c r="M123" s="29"/>
      <c r="N123" s="6"/>
    </row>
    <row r="124" spans="1:14" ht="15.75">
      <c r="A124" s="7"/>
      <c r="B124" s="165" t="s">
        <v>82</v>
      </c>
      <c r="C124" s="158"/>
      <c r="D124" s="158"/>
      <c r="E124" s="158"/>
      <c r="F124" s="158"/>
      <c r="G124" s="158"/>
      <c r="H124" s="159" t="s">
        <v>176</v>
      </c>
      <c r="I124" s="166"/>
      <c r="J124" s="159" t="s">
        <v>179</v>
      </c>
      <c r="K124" s="158"/>
      <c r="L124" s="167" t="s">
        <v>131</v>
      </c>
      <c r="M124" s="177"/>
      <c r="N124" s="6"/>
    </row>
    <row r="125" spans="1:14" ht="15.75">
      <c r="A125" s="28"/>
      <c r="B125" s="29" t="s">
        <v>83</v>
      </c>
      <c r="C125" s="29"/>
      <c r="D125" s="29"/>
      <c r="E125" s="29"/>
      <c r="F125" s="29"/>
      <c r="G125" s="29"/>
      <c r="H125" s="67">
        <v>0</v>
      </c>
      <c r="I125" s="29"/>
      <c r="J125" s="89" t="s">
        <v>180</v>
      </c>
      <c r="K125" s="29"/>
      <c r="L125" s="67">
        <f>H125</f>
        <v>0</v>
      </c>
      <c r="M125" s="29"/>
      <c r="N125" s="6"/>
    </row>
    <row r="126" spans="1:14" ht="15.75">
      <c r="A126" s="28"/>
      <c r="B126" s="29" t="s">
        <v>84</v>
      </c>
      <c r="C126" s="29"/>
      <c r="D126" s="29"/>
      <c r="E126" s="29"/>
      <c r="F126" s="29"/>
      <c r="G126" s="29"/>
      <c r="H126" s="67">
        <v>0</v>
      </c>
      <c r="I126" s="29"/>
      <c r="J126" s="89" t="s">
        <v>180</v>
      </c>
      <c r="K126" s="29"/>
      <c r="L126" s="67">
        <f>H126</f>
        <v>0</v>
      </c>
      <c r="M126" s="29"/>
      <c r="N126" s="6"/>
    </row>
    <row r="127" spans="1:14" ht="15.75">
      <c r="A127" s="28"/>
      <c r="B127" s="29" t="s">
        <v>85</v>
      </c>
      <c r="C127" s="29"/>
      <c r="D127" s="29"/>
      <c r="E127" s="29"/>
      <c r="F127" s="29"/>
      <c r="G127" s="29"/>
      <c r="H127" s="67">
        <v>0</v>
      </c>
      <c r="I127" s="29"/>
      <c r="J127" s="89" t="s">
        <v>180</v>
      </c>
      <c r="K127" s="29"/>
      <c r="L127" s="67">
        <f>H127</f>
        <v>0</v>
      </c>
      <c r="M127" s="29"/>
      <c r="N127" s="6"/>
    </row>
    <row r="128" spans="1:14" ht="15.75">
      <c r="A128" s="28"/>
      <c r="B128" s="29" t="s">
        <v>86</v>
      </c>
      <c r="C128" s="29"/>
      <c r="D128" s="29"/>
      <c r="E128" s="29"/>
      <c r="F128" s="29"/>
      <c r="G128" s="29"/>
      <c r="H128" s="67">
        <f>SUM(H126:H127)</f>
        <v>0</v>
      </c>
      <c r="I128" s="29"/>
      <c r="J128" s="89" t="s">
        <v>180</v>
      </c>
      <c r="K128" s="29"/>
      <c r="L128" s="67">
        <f>H128</f>
        <v>0</v>
      </c>
      <c r="M128" s="29"/>
      <c r="N128" s="6"/>
    </row>
    <row r="129" spans="1:14" ht="15.75">
      <c r="A129" s="28"/>
      <c r="B129" s="29" t="s">
        <v>87</v>
      </c>
      <c r="C129" s="29"/>
      <c r="D129" s="29"/>
      <c r="E129" s="29"/>
      <c r="F129" s="29"/>
      <c r="G129" s="29"/>
      <c r="H129" s="67">
        <f>H125-H128</f>
        <v>0</v>
      </c>
      <c r="I129" s="29"/>
      <c r="J129" s="89" t="s">
        <v>180</v>
      </c>
      <c r="K129" s="29"/>
      <c r="L129" s="67">
        <f>H129</f>
        <v>0</v>
      </c>
      <c r="M129" s="29"/>
      <c r="N129" s="6"/>
    </row>
    <row r="130" spans="1:14" ht="15.75">
      <c r="A130" s="28"/>
      <c r="B130" s="29"/>
      <c r="C130" s="29"/>
      <c r="D130" s="29"/>
      <c r="E130" s="29"/>
      <c r="F130" s="29"/>
      <c r="G130" s="29"/>
      <c r="H130" s="29"/>
      <c r="I130" s="29"/>
      <c r="J130" s="29"/>
      <c r="K130" s="29"/>
      <c r="L130" s="29"/>
      <c r="M130" s="29"/>
      <c r="N130" s="6"/>
    </row>
    <row r="131" spans="1:14" ht="15.75">
      <c r="A131" s="28"/>
      <c r="B131" s="32"/>
      <c r="C131" s="32"/>
      <c r="D131" s="32"/>
      <c r="E131" s="32"/>
      <c r="F131" s="32"/>
      <c r="G131" s="32"/>
      <c r="H131" s="32"/>
      <c r="I131" s="32"/>
      <c r="J131" s="32"/>
      <c r="K131" s="32"/>
      <c r="L131" s="32"/>
      <c r="M131" s="32"/>
      <c r="N131" s="6"/>
    </row>
    <row r="132" spans="1:14" ht="15.75">
      <c r="A132" s="90"/>
      <c r="B132" s="63" t="s">
        <v>88</v>
      </c>
      <c r="C132" s="91"/>
      <c r="D132" s="91"/>
      <c r="E132" s="91"/>
      <c r="F132" s="91"/>
      <c r="G132" s="21"/>
      <c r="H132" s="21"/>
      <c r="I132" s="21"/>
      <c r="J132" s="21">
        <v>37864</v>
      </c>
      <c r="K132" s="17"/>
      <c r="L132" s="17"/>
      <c r="M132" s="9"/>
      <c r="N132" s="6"/>
    </row>
    <row r="133" spans="1:14" ht="15.75">
      <c r="A133" s="92"/>
      <c r="B133" s="93" t="s">
        <v>89</v>
      </c>
      <c r="C133" s="94"/>
      <c r="D133" s="94"/>
      <c r="E133" s="94"/>
      <c r="F133" s="94"/>
      <c r="G133" s="95"/>
      <c r="H133" s="95"/>
      <c r="I133" s="95"/>
      <c r="J133" s="96">
        <v>0.1226</v>
      </c>
      <c r="K133" s="29"/>
      <c r="L133" s="29"/>
      <c r="M133" s="29"/>
      <c r="N133" s="6"/>
    </row>
    <row r="134" spans="1:14" ht="15.75">
      <c r="A134" s="92"/>
      <c r="B134" s="93" t="s">
        <v>90</v>
      </c>
      <c r="C134" s="94"/>
      <c r="D134" s="94"/>
      <c r="E134" s="94"/>
      <c r="F134" s="94"/>
      <c r="G134" s="95"/>
      <c r="H134" s="95"/>
      <c r="I134" s="95"/>
      <c r="J134" s="96">
        <v>0.0582</v>
      </c>
      <c r="K134" s="96"/>
      <c r="L134" s="29"/>
      <c r="M134" s="29"/>
      <c r="N134" s="6"/>
    </row>
    <row r="135" spans="1:14" ht="15.75">
      <c r="A135" s="92"/>
      <c r="B135" s="93" t="s">
        <v>91</v>
      </c>
      <c r="C135" s="94"/>
      <c r="D135" s="94"/>
      <c r="E135" s="94"/>
      <c r="F135" s="94"/>
      <c r="G135" s="95"/>
      <c r="H135" s="95"/>
      <c r="I135" s="95"/>
      <c r="J135" s="96">
        <f>J133-J134</f>
        <v>0.0644</v>
      </c>
      <c r="K135" s="29"/>
      <c r="L135" s="29"/>
      <c r="M135" s="29"/>
      <c r="N135" s="6"/>
    </row>
    <row r="136" spans="1:14" ht="15.75">
      <c r="A136" s="92"/>
      <c r="B136" s="93" t="s">
        <v>92</v>
      </c>
      <c r="C136" s="94"/>
      <c r="D136" s="94"/>
      <c r="E136" s="94"/>
      <c r="F136" s="94"/>
      <c r="G136" s="95"/>
      <c r="H136" s="95"/>
      <c r="I136" s="95"/>
      <c r="J136" s="96">
        <v>0.11801</v>
      </c>
      <c r="K136" s="29"/>
      <c r="L136" s="29"/>
      <c r="M136" s="29"/>
      <c r="N136" s="6"/>
    </row>
    <row r="137" spans="1:14" ht="15.75">
      <c r="A137" s="92"/>
      <c r="B137" s="93" t="s">
        <v>93</v>
      </c>
      <c r="C137" s="94"/>
      <c r="D137" s="94"/>
      <c r="E137" s="94"/>
      <c r="F137" s="94"/>
      <c r="G137" s="95"/>
      <c r="H137" s="95"/>
      <c r="I137" s="95"/>
      <c r="J137" s="96">
        <f>L32</f>
        <v>0.042076778884462145</v>
      </c>
      <c r="K137" s="29"/>
      <c r="L137" s="29"/>
      <c r="M137" s="29"/>
      <c r="N137" s="6"/>
    </row>
    <row r="138" spans="1:14" ht="15.75">
      <c r="A138" s="92"/>
      <c r="B138" s="93" t="s">
        <v>94</v>
      </c>
      <c r="C138" s="94"/>
      <c r="D138" s="94"/>
      <c r="E138" s="94"/>
      <c r="F138" s="94"/>
      <c r="G138" s="95"/>
      <c r="H138" s="95"/>
      <c r="I138" s="95"/>
      <c r="J138" s="96">
        <f>J136-J137</f>
        <v>0.07593322111553785</v>
      </c>
      <c r="K138" s="29"/>
      <c r="L138" s="29"/>
      <c r="M138" s="29"/>
      <c r="N138" s="6"/>
    </row>
    <row r="139" spans="1:14" ht="15.75">
      <c r="A139" s="92"/>
      <c r="B139" s="93" t="s">
        <v>95</v>
      </c>
      <c r="C139" s="94"/>
      <c r="D139" s="94"/>
      <c r="E139" s="94"/>
      <c r="F139" s="94"/>
      <c r="G139" s="95"/>
      <c r="H139" s="95"/>
      <c r="I139" s="95"/>
      <c r="J139" s="96" t="s">
        <v>181</v>
      </c>
      <c r="K139" s="29"/>
      <c r="L139" s="29"/>
      <c r="M139" s="29"/>
      <c r="N139" s="6"/>
    </row>
    <row r="140" spans="1:14" ht="15.75">
      <c r="A140" s="92"/>
      <c r="B140" s="93" t="s">
        <v>96</v>
      </c>
      <c r="C140" s="94"/>
      <c r="D140" s="94"/>
      <c r="E140" s="94"/>
      <c r="F140" s="94"/>
      <c r="G140" s="95"/>
      <c r="H140" s="95"/>
      <c r="I140" s="95"/>
      <c r="J140" s="96" t="s">
        <v>182</v>
      </c>
      <c r="K140" s="29"/>
      <c r="L140" s="29"/>
      <c r="M140" s="29"/>
      <c r="N140" s="6"/>
    </row>
    <row r="141" spans="1:14" ht="15.75">
      <c r="A141" s="92"/>
      <c r="B141" s="93" t="s">
        <v>97</v>
      </c>
      <c r="C141" s="94"/>
      <c r="D141" s="94"/>
      <c r="E141" s="94"/>
      <c r="F141" s="94"/>
      <c r="G141" s="95"/>
      <c r="H141" s="95"/>
      <c r="I141" s="95"/>
      <c r="J141" s="96" t="s">
        <v>183</v>
      </c>
      <c r="K141" s="29"/>
      <c r="L141" s="29"/>
      <c r="M141" s="29"/>
      <c r="N141" s="6"/>
    </row>
    <row r="142" spans="1:14" ht="15.75">
      <c r="A142" s="92"/>
      <c r="B142" s="93" t="s">
        <v>98</v>
      </c>
      <c r="C142" s="94"/>
      <c r="D142" s="94"/>
      <c r="E142" s="94"/>
      <c r="F142" s="94"/>
      <c r="G142" s="95"/>
      <c r="H142" s="95"/>
      <c r="I142" s="95"/>
      <c r="J142" s="97">
        <v>4.08</v>
      </c>
      <c r="K142" s="29"/>
      <c r="L142" s="29"/>
      <c r="M142" s="29"/>
      <c r="N142" s="6"/>
    </row>
    <row r="143" spans="1:14" ht="15.75">
      <c r="A143" s="92"/>
      <c r="B143" s="93" t="s">
        <v>99</v>
      </c>
      <c r="C143" s="94"/>
      <c r="D143" s="94"/>
      <c r="E143" s="94"/>
      <c r="F143" s="94"/>
      <c r="G143" s="95"/>
      <c r="H143" s="95"/>
      <c r="I143" s="95"/>
      <c r="J143" s="97">
        <v>6.38</v>
      </c>
      <c r="K143" s="29"/>
      <c r="L143" s="29"/>
      <c r="M143" s="29"/>
      <c r="N143" s="6"/>
    </row>
    <row r="144" spans="1:14" ht="15.75">
      <c r="A144" s="92"/>
      <c r="B144" s="93" t="s">
        <v>100</v>
      </c>
      <c r="C144" s="94"/>
      <c r="D144" s="94"/>
      <c r="E144" s="94"/>
      <c r="F144" s="94"/>
      <c r="G144" s="95"/>
      <c r="H144" s="95"/>
      <c r="I144" s="95"/>
      <c r="J144" s="96">
        <v>0.1574</v>
      </c>
      <c r="K144" s="29"/>
      <c r="L144" s="29"/>
      <c r="M144" s="29"/>
      <c r="N144" s="6"/>
    </row>
    <row r="145" spans="1:14" ht="15.75">
      <c r="A145" s="92"/>
      <c r="B145" s="93" t="s">
        <v>101</v>
      </c>
      <c r="C145" s="94"/>
      <c r="D145" s="94"/>
      <c r="E145" s="94"/>
      <c r="F145" s="94"/>
      <c r="G145" s="95"/>
      <c r="H145" s="95"/>
      <c r="I145" s="95"/>
      <c r="J145" s="96">
        <v>0.4567</v>
      </c>
      <c r="K145" s="29"/>
      <c r="L145" s="29"/>
      <c r="M145" s="29"/>
      <c r="N145" s="6"/>
    </row>
    <row r="146" spans="1:14" ht="15.75">
      <c r="A146" s="92"/>
      <c r="B146" s="93"/>
      <c r="C146" s="93"/>
      <c r="D146" s="93"/>
      <c r="E146" s="93"/>
      <c r="F146" s="93"/>
      <c r="G146" s="29"/>
      <c r="H146" s="29"/>
      <c r="I146" s="36"/>
      <c r="J146" s="98"/>
      <c r="K146" s="29"/>
      <c r="L146" s="99"/>
      <c r="M146" s="29"/>
      <c r="N146" s="6"/>
    </row>
    <row r="147" spans="1:14" ht="15.75">
      <c r="A147" s="90"/>
      <c r="B147" s="100"/>
      <c r="C147" s="100"/>
      <c r="D147" s="100"/>
      <c r="E147" s="100"/>
      <c r="F147" s="100"/>
      <c r="G147" s="9"/>
      <c r="H147" s="9"/>
      <c r="I147" s="22"/>
      <c r="J147" s="101"/>
      <c r="K147" s="9"/>
      <c r="L147" s="102"/>
      <c r="M147" s="9"/>
      <c r="N147" s="6"/>
    </row>
    <row r="148" spans="1:14" ht="16.5" thickBot="1">
      <c r="A148" s="150"/>
      <c r="B148" s="145" t="str">
        <f>B97</f>
        <v>PPAF1 INVESTOR REPORT QUARTER ENDING AUGUST 2003</v>
      </c>
      <c r="C148" s="151"/>
      <c r="D148" s="151"/>
      <c r="E148" s="151"/>
      <c r="F148" s="151"/>
      <c r="G148" s="146"/>
      <c r="H148" s="146"/>
      <c r="I148" s="152"/>
      <c r="J148" s="153"/>
      <c r="K148" s="146"/>
      <c r="L148" s="154"/>
      <c r="M148" s="148"/>
      <c r="N148" s="6"/>
    </row>
    <row r="149" spans="1:14" ht="15.75">
      <c r="A149" s="103"/>
      <c r="B149" s="104" t="s">
        <v>102</v>
      </c>
      <c r="C149" s="105"/>
      <c r="D149" s="106"/>
      <c r="E149" s="105"/>
      <c r="F149" s="106"/>
      <c r="G149" s="105"/>
      <c r="H149" s="106"/>
      <c r="I149" s="105" t="s">
        <v>141</v>
      </c>
      <c r="J149" s="106" t="s">
        <v>184</v>
      </c>
      <c r="K149" s="107"/>
      <c r="L149" s="107"/>
      <c r="M149" s="5"/>
      <c r="N149" s="6"/>
    </row>
    <row r="150" spans="1:14" ht="15.75">
      <c r="A150" s="108"/>
      <c r="B150" s="93" t="s">
        <v>103</v>
      </c>
      <c r="C150" s="68"/>
      <c r="D150" s="68"/>
      <c r="E150" s="68"/>
      <c r="F150" s="29"/>
      <c r="G150" s="29"/>
      <c r="H150" s="29"/>
      <c r="I150" s="29">
        <v>663</v>
      </c>
      <c r="J150" s="67">
        <v>4410</v>
      </c>
      <c r="K150" s="67"/>
      <c r="L150" s="99"/>
      <c r="M150" s="109"/>
      <c r="N150" s="6"/>
    </row>
    <row r="151" spans="1:14" ht="15.75">
      <c r="A151" s="108"/>
      <c r="B151" s="93" t="s">
        <v>104</v>
      </c>
      <c r="C151" s="68"/>
      <c r="D151" s="68"/>
      <c r="E151" s="68"/>
      <c r="F151" s="29"/>
      <c r="G151" s="29"/>
      <c r="H151" s="29"/>
      <c r="I151" s="29">
        <v>2</v>
      </c>
      <c r="J151" s="67">
        <v>9</v>
      </c>
      <c r="K151" s="67"/>
      <c r="L151" s="99"/>
      <c r="M151" s="109"/>
      <c r="N151" s="6"/>
    </row>
    <row r="152" spans="1:14" ht="15.75">
      <c r="A152" s="108"/>
      <c r="B152" s="168" t="s">
        <v>105</v>
      </c>
      <c r="C152" s="68"/>
      <c r="D152" s="68"/>
      <c r="E152" s="68"/>
      <c r="F152" s="29"/>
      <c r="G152" s="29"/>
      <c r="H152" s="29"/>
      <c r="I152" s="29"/>
      <c r="J152" s="110">
        <v>0</v>
      </c>
      <c r="K152" s="29"/>
      <c r="L152" s="99"/>
      <c r="M152" s="109"/>
      <c r="N152" s="6"/>
    </row>
    <row r="153" spans="1:14" ht="15.75">
      <c r="A153" s="108"/>
      <c r="B153" s="168" t="s">
        <v>106</v>
      </c>
      <c r="C153" s="68"/>
      <c r="D153" s="68"/>
      <c r="E153" s="68"/>
      <c r="F153" s="29"/>
      <c r="G153" s="29"/>
      <c r="H153" s="29"/>
      <c r="I153" s="29"/>
      <c r="J153" s="67">
        <f>H67</f>
        <v>17090</v>
      </c>
      <c r="K153" s="29"/>
      <c r="L153" s="99"/>
      <c r="M153" s="109"/>
      <c r="N153" s="6"/>
    </row>
    <row r="154" spans="1:14" ht="15.75">
      <c r="A154" s="111"/>
      <c r="B154" s="168" t="s">
        <v>107</v>
      </c>
      <c r="C154" s="68"/>
      <c r="D154" s="93"/>
      <c r="E154" s="93"/>
      <c r="F154" s="93"/>
      <c r="G154" s="29"/>
      <c r="H154" s="29"/>
      <c r="I154" s="29"/>
      <c r="J154" s="112"/>
      <c r="K154" s="29"/>
      <c r="L154" s="99"/>
      <c r="M154" s="113"/>
      <c r="N154" s="6"/>
    </row>
    <row r="155" spans="1:14" ht="15.75">
      <c r="A155" s="108"/>
      <c r="B155" s="93" t="s">
        <v>108</v>
      </c>
      <c r="C155" s="68"/>
      <c r="D155" s="68"/>
      <c r="E155" s="68"/>
      <c r="F155" s="68"/>
      <c r="G155" s="29"/>
      <c r="H155" s="29"/>
      <c r="I155" s="29"/>
      <c r="J155" s="67">
        <f>L116</f>
        <v>946</v>
      </c>
      <c r="K155" s="29"/>
      <c r="L155" s="99"/>
      <c r="M155" s="113"/>
      <c r="N155" s="6"/>
    </row>
    <row r="156" spans="1:14" ht="15.75">
      <c r="A156" s="108"/>
      <c r="B156" s="93" t="s">
        <v>109</v>
      </c>
      <c r="C156" s="68"/>
      <c r="D156" s="68"/>
      <c r="E156" s="68"/>
      <c r="F156" s="68"/>
      <c r="G156" s="29"/>
      <c r="H156" s="29"/>
      <c r="I156" s="29"/>
      <c r="J156" s="67">
        <f>L116+'May 03'!J156</f>
        <v>17544</v>
      </c>
      <c r="K156" s="29"/>
      <c r="L156" s="99"/>
      <c r="M156" s="113"/>
      <c r="N156" s="6"/>
    </row>
    <row r="157" spans="1:14" ht="15.75">
      <c r="A157" s="108"/>
      <c r="B157" s="93" t="s">
        <v>110</v>
      </c>
      <c r="C157" s="68"/>
      <c r="D157" s="68"/>
      <c r="E157" s="68"/>
      <c r="F157" s="68"/>
      <c r="G157" s="29"/>
      <c r="H157" s="29"/>
      <c r="I157" s="29"/>
      <c r="J157" s="67"/>
      <c r="K157" s="29"/>
      <c r="L157" s="99"/>
      <c r="M157" s="113"/>
      <c r="N157" s="6"/>
    </row>
    <row r="158" spans="1:14" ht="15.75">
      <c r="A158" s="108"/>
      <c r="B158" s="93"/>
      <c r="C158" s="68"/>
      <c r="D158" s="68"/>
      <c r="E158" s="68"/>
      <c r="F158" s="68"/>
      <c r="G158" s="29"/>
      <c r="H158" s="29"/>
      <c r="I158" s="29"/>
      <c r="J158" s="67"/>
      <c r="K158" s="29"/>
      <c r="L158" s="99"/>
      <c r="M158" s="113"/>
      <c r="N158" s="6"/>
    </row>
    <row r="159" spans="1:14" ht="15.75">
      <c r="A159" s="111"/>
      <c r="B159" s="168" t="s">
        <v>111</v>
      </c>
      <c r="C159" s="68"/>
      <c r="D159" s="93"/>
      <c r="E159" s="93"/>
      <c r="F159" s="93"/>
      <c r="G159" s="29"/>
      <c r="H159" s="29"/>
      <c r="I159" s="29"/>
      <c r="J159" s="89"/>
      <c r="K159" s="29"/>
      <c r="L159" s="99"/>
      <c r="M159" s="113"/>
      <c r="N159" s="6"/>
    </row>
    <row r="160" spans="1:14" ht="15.75">
      <c r="A160" s="111"/>
      <c r="B160" s="93" t="s">
        <v>112</v>
      </c>
      <c r="C160" s="68"/>
      <c r="D160" s="93"/>
      <c r="E160" s="93"/>
      <c r="F160" s="93"/>
      <c r="G160" s="29"/>
      <c r="H160" s="29"/>
      <c r="I160" s="29"/>
      <c r="J160" s="89">
        <v>0</v>
      </c>
      <c r="K160" s="29"/>
      <c r="L160" s="99"/>
      <c r="M160" s="113"/>
      <c r="N160" s="6"/>
    </row>
    <row r="161" spans="1:14" ht="15.75">
      <c r="A161" s="108"/>
      <c r="B161" s="93" t="s">
        <v>113</v>
      </c>
      <c r="C161" s="68"/>
      <c r="D161" s="114"/>
      <c r="E161" s="114"/>
      <c r="F161" s="115"/>
      <c r="G161" s="29"/>
      <c r="H161" s="29"/>
      <c r="I161" s="29"/>
      <c r="J161" s="89">
        <v>0</v>
      </c>
      <c r="K161" s="29"/>
      <c r="L161" s="99"/>
      <c r="M161" s="113"/>
      <c r="N161" s="6"/>
    </row>
    <row r="162" spans="1:14" ht="15.75">
      <c r="A162" s="108"/>
      <c r="B162" s="93" t="s">
        <v>114</v>
      </c>
      <c r="C162" s="68"/>
      <c r="D162" s="114"/>
      <c r="E162" s="114"/>
      <c r="F162" s="115"/>
      <c r="G162" s="29"/>
      <c r="H162" s="29"/>
      <c r="I162" s="29"/>
      <c r="J162" s="89">
        <v>0</v>
      </c>
      <c r="K162" s="29"/>
      <c r="L162" s="99"/>
      <c r="M162" s="113"/>
      <c r="N162" s="6"/>
    </row>
    <row r="163" spans="1:14" ht="15.75">
      <c r="A163" s="108"/>
      <c r="B163" s="93" t="s">
        <v>115</v>
      </c>
      <c r="C163" s="68"/>
      <c r="D163" s="116"/>
      <c r="E163" s="114"/>
      <c r="F163" s="115"/>
      <c r="G163" s="29"/>
      <c r="H163" s="29"/>
      <c r="I163" s="29"/>
      <c r="J163" s="89">
        <v>0</v>
      </c>
      <c r="K163" s="29"/>
      <c r="L163" s="99"/>
      <c r="M163" s="113"/>
      <c r="N163" s="6"/>
    </row>
    <row r="164" spans="1:14" ht="15.75">
      <c r="A164" s="108"/>
      <c r="B164" s="93"/>
      <c r="C164" s="68"/>
      <c r="D164" s="116"/>
      <c r="E164" s="114"/>
      <c r="F164" s="115"/>
      <c r="G164" s="29"/>
      <c r="H164" s="29"/>
      <c r="I164" s="29"/>
      <c r="J164" s="89"/>
      <c r="K164" s="29"/>
      <c r="L164" s="99"/>
      <c r="M164" s="113"/>
      <c r="N164" s="6"/>
    </row>
    <row r="165" spans="1:14" ht="15.75">
      <c r="A165" s="108"/>
      <c r="B165" s="168" t="s">
        <v>116</v>
      </c>
      <c r="C165" s="68"/>
      <c r="D165" s="68"/>
      <c r="E165" s="116"/>
      <c r="F165" s="114"/>
      <c r="G165" s="115"/>
      <c r="H165" s="29"/>
      <c r="I165" s="36"/>
      <c r="J165" s="36"/>
      <c r="K165" s="117"/>
      <c r="L165" s="36"/>
      <c r="M165" s="99"/>
      <c r="N165" s="6"/>
    </row>
    <row r="166" spans="1:14" ht="15.75">
      <c r="A166" s="108"/>
      <c r="B166" s="93" t="s">
        <v>117</v>
      </c>
      <c r="C166" s="68"/>
      <c r="D166" s="68"/>
      <c r="E166" s="116"/>
      <c r="F166" s="114"/>
      <c r="G166" s="115"/>
      <c r="H166" s="29"/>
      <c r="I166" s="36"/>
      <c r="J166" s="118">
        <v>86</v>
      </c>
      <c r="K166" s="118"/>
      <c r="L166" s="36"/>
      <c r="M166" s="99"/>
      <c r="N166" s="6"/>
    </row>
    <row r="167" spans="1:14" ht="15.75">
      <c r="A167" s="108"/>
      <c r="B167" s="93" t="s">
        <v>113</v>
      </c>
      <c r="C167" s="68"/>
      <c r="D167" s="68"/>
      <c r="E167" s="116"/>
      <c r="F167" s="114"/>
      <c r="G167" s="115"/>
      <c r="H167" s="29"/>
      <c r="I167" s="36"/>
      <c r="J167" s="118">
        <v>1.55</v>
      </c>
      <c r="K167" s="118"/>
      <c r="L167" s="36"/>
      <c r="M167" s="99"/>
      <c r="N167" s="6"/>
    </row>
    <row r="168" spans="1:14" ht="15.75">
      <c r="A168" s="108"/>
      <c r="B168" s="93" t="s">
        <v>118</v>
      </c>
      <c r="C168" s="68"/>
      <c r="D168" s="68"/>
      <c r="E168" s="116"/>
      <c r="F168" s="114"/>
      <c r="G168" s="115"/>
      <c r="H168" s="29"/>
      <c r="I168" s="36"/>
      <c r="J168" s="118">
        <v>32</v>
      </c>
      <c r="K168" s="118"/>
      <c r="L168" s="36"/>
      <c r="M168" s="99"/>
      <c r="N168" s="6"/>
    </row>
    <row r="169" spans="1:14" ht="15.75">
      <c r="A169" s="108"/>
      <c r="B169" s="93"/>
      <c r="C169" s="68"/>
      <c r="D169" s="116"/>
      <c r="E169" s="114"/>
      <c r="F169" s="115"/>
      <c r="G169" s="29"/>
      <c r="H169" s="29"/>
      <c r="I169" s="29"/>
      <c r="J169" s="89"/>
      <c r="K169" s="29"/>
      <c r="L169" s="99"/>
      <c r="M169" s="113"/>
      <c r="N169" s="6"/>
    </row>
    <row r="170" spans="1:14" ht="15.75">
      <c r="A170" s="28"/>
      <c r="B170" s="119" t="s">
        <v>119</v>
      </c>
      <c r="C170" s="120"/>
      <c r="D170" s="121"/>
      <c r="E170" s="120"/>
      <c r="F170" s="121"/>
      <c r="G170" s="120"/>
      <c r="H170" s="121"/>
      <c r="I170" s="120"/>
      <c r="J170" s="121"/>
      <c r="K170" s="120"/>
      <c r="L170" s="122"/>
      <c r="M170" s="113"/>
      <c r="N170" s="6"/>
    </row>
    <row r="171" spans="1:14" ht="15.75">
      <c r="A171" s="28"/>
      <c r="B171" s="33"/>
      <c r="C171" s="156"/>
      <c r="D171" s="119" t="s">
        <v>151</v>
      </c>
      <c r="E171" s="120"/>
      <c r="F171" s="121"/>
      <c r="G171" s="120"/>
      <c r="H171" s="119" t="s">
        <v>39</v>
      </c>
      <c r="I171" s="120"/>
      <c r="J171" s="121"/>
      <c r="K171" s="120"/>
      <c r="L171" s="122"/>
      <c r="M171" s="113"/>
      <c r="N171" s="6"/>
    </row>
    <row r="172" spans="1:14" ht="15.75">
      <c r="A172" s="28"/>
      <c r="B172" s="156"/>
      <c r="C172" s="121" t="s">
        <v>141</v>
      </c>
      <c r="D172" s="120" t="s">
        <v>152</v>
      </c>
      <c r="E172" s="121" t="s">
        <v>157</v>
      </c>
      <c r="F172" s="120" t="s">
        <v>152</v>
      </c>
      <c r="G172" s="120"/>
      <c r="H172" s="121" t="s">
        <v>141</v>
      </c>
      <c r="I172" s="120" t="s">
        <v>152</v>
      </c>
      <c r="J172" s="121" t="s">
        <v>157</v>
      </c>
      <c r="K172" s="120" t="s">
        <v>152</v>
      </c>
      <c r="L172" s="122"/>
      <c r="M172" s="113"/>
      <c r="N172" s="6"/>
    </row>
    <row r="173" spans="1:14" ht="15.75">
      <c r="A173" s="28"/>
      <c r="B173" s="68" t="s">
        <v>120</v>
      </c>
      <c r="C173" s="123">
        <v>6933</v>
      </c>
      <c r="D173" s="96">
        <f>C173/C177</f>
        <v>0.8517199017199018</v>
      </c>
      <c r="E173" s="123">
        <v>41440</v>
      </c>
      <c r="F173" s="96">
        <f>E173/E177</f>
        <v>0.8579710144927536</v>
      </c>
      <c r="G173" s="120"/>
      <c r="H173" s="123">
        <v>28044</v>
      </c>
      <c r="I173" s="96">
        <f>H173/H177</f>
        <v>0.919415120319979</v>
      </c>
      <c r="J173" s="123">
        <v>20889</v>
      </c>
      <c r="K173" s="96">
        <f>J173/J177</f>
        <v>0.913739556449849</v>
      </c>
      <c r="L173" s="122"/>
      <c r="M173" s="113"/>
      <c r="N173" s="6"/>
    </row>
    <row r="174" spans="1:14" ht="15.75">
      <c r="A174" s="28"/>
      <c r="B174" s="68" t="s">
        <v>121</v>
      </c>
      <c r="C174" s="123">
        <v>147</v>
      </c>
      <c r="D174" s="96">
        <f>C174/$C$177</f>
        <v>0.018058968058968058</v>
      </c>
      <c r="E174" s="123">
        <v>982</v>
      </c>
      <c r="F174" s="96">
        <f>E174/$E$177</f>
        <v>0.020331262939958593</v>
      </c>
      <c r="G174" s="120"/>
      <c r="H174" s="123">
        <v>349</v>
      </c>
      <c r="I174" s="96">
        <f>H174/$H$177</f>
        <v>0.011441872664087601</v>
      </c>
      <c r="J174" s="123">
        <v>215</v>
      </c>
      <c r="K174" s="96">
        <f>J174/$J$177</f>
        <v>0.009404662963124973</v>
      </c>
      <c r="L174" s="122"/>
      <c r="M174" s="113"/>
      <c r="N174" s="6"/>
    </row>
    <row r="175" spans="1:14" ht="15.75">
      <c r="A175" s="28"/>
      <c r="B175" s="68" t="s">
        <v>122</v>
      </c>
      <c r="C175" s="123">
        <v>132</v>
      </c>
      <c r="D175" s="96">
        <f>C175/$C$177</f>
        <v>0.016216216216216217</v>
      </c>
      <c r="E175" s="123">
        <v>831</v>
      </c>
      <c r="F175" s="96">
        <f>E175/$E$177</f>
        <v>0.01720496894409938</v>
      </c>
      <c r="G175" s="120"/>
      <c r="H175" s="123">
        <v>324</v>
      </c>
      <c r="I175" s="96">
        <f>H175/$H$177</f>
        <v>0.010622254278407973</v>
      </c>
      <c r="J175" s="123">
        <v>218</v>
      </c>
      <c r="K175" s="96">
        <f>J175/$J$177</f>
        <v>0.00953589081842439</v>
      </c>
      <c r="L175" s="122"/>
      <c r="M175" s="113"/>
      <c r="N175" s="6"/>
    </row>
    <row r="176" spans="1:16" ht="15.75">
      <c r="A176" s="28"/>
      <c r="B176" s="68" t="s">
        <v>123</v>
      </c>
      <c r="C176" s="123">
        <v>928</v>
      </c>
      <c r="D176" s="96">
        <f>C176/$C$177</f>
        <v>0.114004914004914</v>
      </c>
      <c r="E176" s="123">
        <v>5047</v>
      </c>
      <c r="F176" s="96">
        <f>E176/$E$177</f>
        <v>0.10449275362318841</v>
      </c>
      <c r="G176" s="120"/>
      <c r="H176" s="123">
        <v>1785</v>
      </c>
      <c r="I176" s="96">
        <f>H176/$H$177</f>
        <v>0.05852075273752541</v>
      </c>
      <c r="J176" s="123">
        <v>1539</v>
      </c>
      <c r="K176" s="96">
        <f>J176/$J$177</f>
        <v>0.06731988976860155</v>
      </c>
      <c r="L176" s="122"/>
      <c r="M176" s="113"/>
      <c r="N176" s="6"/>
      <c r="P176" s="72"/>
    </row>
    <row r="177" spans="1:16" ht="15.75">
      <c r="A177" s="28"/>
      <c r="B177" s="68" t="s">
        <v>124</v>
      </c>
      <c r="C177" s="123">
        <f>SUM(C173:C176)</f>
        <v>8140</v>
      </c>
      <c r="D177" s="96">
        <f>SUM(D173:D176)</f>
        <v>1</v>
      </c>
      <c r="E177" s="123">
        <f>SUM(E173:E176)</f>
        <v>48300</v>
      </c>
      <c r="F177" s="96">
        <f>SUM(F173:F176)</f>
        <v>1</v>
      </c>
      <c r="G177" s="120"/>
      <c r="H177" s="123">
        <f>SUM(H173:H176)</f>
        <v>30502</v>
      </c>
      <c r="I177" s="96">
        <f>SUM(I173:I176)</f>
        <v>1</v>
      </c>
      <c r="J177" s="123">
        <f>SUM(J173:J176)</f>
        <v>22861</v>
      </c>
      <c r="K177" s="96">
        <f>SUM(K173:K176)</f>
        <v>1</v>
      </c>
      <c r="L177" s="122"/>
      <c r="M177" s="113"/>
      <c r="N177" s="6"/>
      <c r="P177" s="72"/>
    </row>
    <row r="178" spans="1:15" ht="15.75">
      <c r="A178" s="28"/>
      <c r="B178" s="68" t="s">
        <v>125</v>
      </c>
      <c r="C178" s="123">
        <v>3203</v>
      </c>
      <c r="D178" s="124"/>
      <c r="E178" s="123">
        <v>21707</v>
      </c>
      <c r="F178" s="124"/>
      <c r="G178" s="120"/>
      <c r="H178" s="123">
        <v>2418</v>
      </c>
      <c r="I178" s="124"/>
      <c r="J178" s="123">
        <v>3203</v>
      </c>
      <c r="K178" s="124"/>
      <c r="L178" s="122"/>
      <c r="M178" s="113"/>
      <c r="N178" s="6"/>
      <c r="O178" s="72"/>
    </row>
    <row r="179" spans="1:16" ht="15.75">
      <c r="A179" s="28"/>
      <c r="B179" s="68" t="s">
        <v>126</v>
      </c>
      <c r="C179" s="123">
        <f>SUM(C177:C178)</f>
        <v>11343</v>
      </c>
      <c r="D179" s="156"/>
      <c r="E179" s="123">
        <f>E178+E177</f>
        <v>70007</v>
      </c>
      <c r="F179" s="127"/>
      <c r="G179" s="156"/>
      <c r="H179" s="123">
        <f>SUM(H177:H178)</f>
        <v>32920</v>
      </c>
      <c r="I179" s="156"/>
      <c r="J179" s="123">
        <f>J178+J177</f>
        <v>26064</v>
      </c>
      <c r="K179" s="156"/>
      <c r="L179" s="156"/>
      <c r="M179" s="113"/>
      <c r="N179" s="6"/>
      <c r="P179" s="72"/>
    </row>
    <row r="180" spans="1:16" ht="15.75">
      <c r="A180" s="28"/>
      <c r="B180" s="68"/>
      <c r="C180" s="123"/>
      <c r="D180" s="127"/>
      <c r="E180" s="123"/>
      <c r="F180" s="127"/>
      <c r="G180" s="120"/>
      <c r="H180" s="123"/>
      <c r="I180" s="127"/>
      <c r="J180" s="123"/>
      <c r="K180" s="127"/>
      <c r="L180" s="122"/>
      <c r="M180" s="113"/>
      <c r="N180" s="6"/>
      <c r="P180" s="72"/>
    </row>
    <row r="181" spans="1:15" ht="15.75">
      <c r="A181" s="28"/>
      <c r="B181" s="68"/>
      <c r="C181" s="120"/>
      <c r="D181" s="119" t="s">
        <v>40</v>
      </c>
      <c r="E181" s="120"/>
      <c r="F181" s="121"/>
      <c r="G181" s="120"/>
      <c r="H181" s="119" t="s">
        <v>41</v>
      </c>
      <c r="I181" s="120"/>
      <c r="J181" s="121"/>
      <c r="K181" s="120"/>
      <c r="L181" s="122"/>
      <c r="M181" s="113"/>
      <c r="N181" s="6"/>
      <c r="O181" s="72"/>
    </row>
    <row r="182" spans="1:14" ht="15.75">
      <c r="A182" s="28"/>
      <c r="B182" s="156"/>
      <c r="C182" s="121" t="s">
        <v>141</v>
      </c>
      <c r="D182" s="120" t="s">
        <v>152</v>
      </c>
      <c r="E182" s="121" t="s">
        <v>157</v>
      </c>
      <c r="F182" s="120" t="s">
        <v>152</v>
      </c>
      <c r="G182" s="120"/>
      <c r="H182" s="121" t="s">
        <v>141</v>
      </c>
      <c r="I182" s="120" t="s">
        <v>152</v>
      </c>
      <c r="J182" s="121" t="s">
        <v>157</v>
      </c>
      <c r="K182" s="120" t="s">
        <v>152</v>
      </c>
      <c r="L182" s="122"/>
      <c r="M182" s="113"/>
      <c r="N182" s="6"/>
    </row>
    <row r="183" spans="1:15" ht="15.75">
      <c r="A183" s="28"/>
      <c r="B183" s="68" t="s">
        <v>120</v>
      </c>
      <c r="C183" s="123">
        <v>3510</v>
      </c>
      <c r="D183" s="96">
        <f>C183/C187</f>
        <v>0.9509617989704687</v>
      </c>
      <c r="E183" s="123">
        <v>61603</v>
      </c>
      <c r="F183" s="96">
        <f>E183/E187</f>
        <v>0.9463698651181368</v>
      </c>
      <c r="G183" s="120"/>
      <c r="H183" s="123">
        <v>10082</v>
      </c>
      <c r="I183" s="96">
        <f>H183/H187</f>
        <v>0.9906652255084996</v>
      </c>
      <c r="J183" s="123">
        <v>55176</v>
      </c>
      <c r="K183" s="96">
        <f>J183/J187</f>
        <v>0.9888526470482814</v>
      </c>
      <c r="L183" s="122"/>
      <c r="M183" s="113"/>
      <c r="N183" s="6"/>
      <c r="O183" s="72"/>
    </row>
    <row r="184" spans="1:14" ht="15.75">
      <c r="A184" s="28"/>
      <c r="B184" s="68" t="s">
        <v>121</v>
      </c>
      <c r="C184" s="123">
        <v>78</v>
      </c>
      <c r="D184" s="96">
        <f>C184/$C$187</f>
        <v>0.02113248442156597</v>
      </c>
      <c r="E184" s="123">
        <v>1551</v>
      </c>
      <c r="F184" s="96">
        <f>E184/$E$187</f>
        <v>0.023827080836943498</v>
      </c>
      <c r="G184" s="120"/>
      <c r="H184" s="123">
        <v>43</v>
      </c>
      <c r="I184" s="96">
        <f>H184/$H$187</f>
        <v>0.004225213717205464</v>
      </c>
      <c r="J184" s="123">
        <v>278</v>
      </c>
      <c r="K184" s="96">
        <f>J184/$J$187</f>
        <v>0.00498225742858167</v>
      </c>
      <c r="L184" s="122"/>
      <c r="M184" s="113"/>
      <c r="N184" s="6"/>
    </row>
    <row r="185" spans="1:14" ht="15.75">
      <c r="A185" s="28"/>
      <c r="B185" s="68" t="s">
        <v>122</v>
      </c>
      <c r="C185" s="123">
        <v>33</v>
      </c>
      <c r="D185" s="96">
        <f>C185/$C$187</f>
        <v>0.008940666486047142</v>
      </c>
      <c r="E185" s="123">
        <v>729</v>
      </c>
      <c r="F185" s="96">
        <f>E185/$E$187</f>
        <v>0.01119918886533321</v>
      </c>
      <c r="G185" s="120"/>
      <c r="H185" s="123">
        <v>14</v>
      </c>
      <c r="I185" s="96">
        <f>H185/$H$187</f>
        <v>0.001375650977694802</v>
      </c>
      <c r="J185" s="123">
        <v>103</v>
      </c>
      <c r="K185" s="96">
        <f>J185/$J$187</f>
        <v>0.00184594429907882</v>
      </c>
      <c r="L185" s="122"/>
      <c r="M185" s="113"/>
      <c r="N185" s="6"/>
    </row>
    <row r="186" spans="1:14" ht="15.75">
      <c r="A186" s="28"/>
      <c r="B186" s="68" t="s">
        <v>123</v>
      </c>
      <c r="C186" s="123">
        <v>70</v>
      </c>
      <c r="D186" s="96">
        <f>C186/$C$187</f>
        <v>0.01896505012191818</v>
      </c>
      <c r="E186" s="123">
        <v>1211</v>
      </c>
      <c r="F186" s="96">
        <f>E186/$E$187</f>
        <v>0.018603865179586444</v>
      </c>
      <c r="G186" s="120"/>
      <c r="H186" s="123">
        <v>38</v>
      </c>
      <c r="I186" s="96">
        <f>H186/$H$187</f>
        <v>0.003733909796600177</v>
      </c>
      <c r="J186" s="123">
        <v>241</v>
      </c>
      <c r="K186" s="96">
        <f>J186/$J$187</f>
        <v>0.00431915122405821</v>
      </c>
      <c r="L186" s="122"/>
      <c r="M186" s="113"/>
      <c r="N186" s="6"/>
    </row>
    <row r="187" spans="1:14" ht="15.75">
      <c r="A187" s="28"/>
      <c r="B187" s="68" t="str">
        <f>B177</f>
        <v>Total Performing  Assets</v>
      </c>
      <c r="C187" s="123">
        <f>SUM(C183:C186)</f>
        <v>3691</v>
      </c>
      <c r="D187" s="96">
        <f>SUM(D183:D186)</f>
        <v>1</v>
      </c>
      <c r="E187" s="123">
        <f>SUM(E183:E186)</f>
        <v>65094</v>
      </c>
      <c r="F187" s="96">
        <f>SUM(F183:F186)</f>
        <v>1</v>
      </c>
      <c r="G187" s="120"/>
      <c r="H187" s="123">
        <f>SUM(H183:H186)</f>
        <v>10177</v>
      </c>
      <c r="I187" s="96">
        <f>SUM(I183:I186)</f>
        <v>0.9999999999999999</v>
      </c>
      <c r="J187" s="123">
        <f>SUM(J183:J186)</f>
        <v>55798</v>
      </c>
      <c r="K187" s="96">
        <f>SUM(K183:K186)</f>
        <v>1</v>
      </c>
      <c r="L187" s="122"/>
      <c r="M187" s="113"/>
      <c r="N187" s="6"/>
    </row>
    <row r="188" spans="1:14" ht="15.75">
      <c r="A188" s="28"/>
      <c r="B188" s="68" t="s">
        <v>125</v>
      </c>
      <c r="C188" s="123">
        <v>3</v>
      </c>
      <c r="D188" s="126"/>
      <c r="E188" s="123">
        <v>19</v>
      </c>
      <c r="F188" s="124"/>
      <c r="G188" s="120"/>
      <c r="H188" s="123">
        <v>17</v>
      </c>
      <c r="I188" s="126"/>
      <c r="J188" s="123">
        <v>127</v>
      </c>
      <c r="K188" s="126"/>
      <c r="L188" s="122"/>
      <c r="M188" s="113"/>
      <c r="N188" s="6"/>
    </row>
    <row r="189" spans="1:15" ht="15.75">
      <c r="A189" s="28"/>
      <c r="B189" s="68" t="s">
        <v>126</v>
      </c>
      <c r="C189" s="123">
        <f>SUM(C187:C188)</f>
        <v>3694</v>
      </c>
      <c r="D189" s="156"/>
      <c r="E189" s="123">
        <f>E188+E187</f>
        <v>65113</v>
      </c>
      <c r="F189" s="127"/>
      <c r="G189" s="156"/>
      <c r="H189" s="123">
        <f>SUM(H187:H188)</f>
        <v>10194</v>
      </c>
      <c r="I189" s="156"/>
      <c r="J189" s="123">
        <f>J188+J187</f>
        <v>55925</v>
      </c>
      <c r="K189" s="156"/>
      <c r="L189" s="156"/>
      <c r="M189" s="156"/>
      <c r="N189" s="6"/>
      <c r="O189" s="72"/>
    </row>
    <row r="190" spans="1:14" ht="15.75">
      <c r="A190" s="28"/>
      <c r="B190" s="68"/>
      <c r="C190" s="120"/>
      <c r="D190" s="121"/>
      <c r="E190" s="120"/>
      <c r="F190" s="121"/>
      <c r="G190" s="120"/>
      <c r="H190" s="128"/>
      <c r="I190" s="120"/>
      <c r="J190" s="123"/>
      <c r="K190" s="120"/>
      <c r="L190" s="122"/>
      <c r="M190" s="113"/>
      <c r="N190" s="6"/>
    </row>
    <row r="191" spans="1:14" ht="15.75">
      <c r="A191" s="28"/>
      <c r="B191" s="68" t="s">
        <v>126</v>
      </c>
      <c r="C191" s="120"/>
      <c r="D191" s="121"/>
      <c r="E191" s="120"/>
      <c r="F191" s="121"/>
      <c r="G191" s="120"/>
      <c r="H191" s="128"/>
      <c r="I191" s="126"/>
      <c r="J191" s="123">
        <f>E179+J179+E189+J189</f>
        <v>217109</v>
      </c>
      <c r="K191" s="127"/>
      <c r="L191" s="122"/>
      <c r="M191" s="113"/>
      <c r="N191" s="6"/>
    </row>
    <row r="192" spans="1:14" ht="15.75">
      <c r="A192" s="28"/>
      <c r="B192" s="68"/>
      <c r="C192" s="120"/>
      <c r="D192" s="121"/>
      <c r="E192" s="120"/>
      <c r="F192" s="121"/>
      <c r="G192" s="120"/>
      <c r="H192" s="121"/>
      <c r="I192" s="120"/>
      <c r="J192" s="123"/>
      <c r="K192" s="126"/>
      <c r="L192" s="122"/>
      <c r="M192" s="113"/>
      <c r="N192" s="6"/>
    </row>
    <row r="193" spans="1:14" ht="15.75">
      <c r="A193" s="28"/>
      <c r="B193" s="129" t="s">
        <v>127</v>
      </c>
      <c r="C193" s="120"/>
      <c r="D193" s="121"/>
      <c r="E193" s="120"/>
      <c r="F193" s="121"/>
      <c r="G193" s="120"/>
      <c r="H193" s="121"/>
      <c r="I193" s="120"/>
      <c r="J193" s="123"/>
      <c r="K193" s="120"/>
      <c r="L193" s="122"/>
      <c r="M193" s="113"/>
      <c r="N193" s="6"/>
    </row>
    <row r="194" spans="1:14" ht="15.75">
      <c r="A194" s="28"/>
      <c r="B194" s="68"/>
      <c r="C194" s="120"/>
      <c r="D194" s="121"/>
      <c r="E194" s="120"/>
      <c r="F194" s="121"/>
      <c r="G194" s="120"/>
      <c r="H194" s="121"/>
      <c r="I194" s="120"/>
      <c r="J194" s="123"/>
      <c r="K194" s="120"/>
      <c r="L194" s="122"/>
      <c r="M194" s="113"/>
      <c r="N194" s="6"/>
    </row>
    <row r="195" spans="1:14" ht="15.75">
      <c r="A195" s="28"/>
      <c r="B195" s="68" t="s">
        <v>128</v>
      </c>
      <c r="C195" s="120"/>
      <c r="D195" s="121"/>
      <c r="E195" s="120"/>
      <c r="F195" s="121"/>
      <c r="G195" s="120"/>
      <c r="H195" s="121"/>
      <c r="I195" s="120"/>
      <c r="J195" s="123">
        <f>+E177+J177+E187+J187</f>
        <v>192053</v>
      </c>
      <c r="K195" s="120"/>
      <c r="L195" s="122"/>
      <c r="M195" s="113"/>
      <c r="N195" s="6"/>
    </row>
    <row r="196" spans="1:14" ht="15.75">
      <c r="A196" s="28"/>
      <c r="B196" s="68" t="s">
        <v>129</v>
      </c>
      <c r="C196" s="120"/>
      <c r="D196" s="121"/>
      <c r="E196" s="120"/>
      <c r="F196" s="121"/>
      <c r="G196" s="120"/>
      <c r="H196" s="121"/>
      <c r="I196" s="120"/>
      <c r="J196" s="123">
        <f>L93</f>
        <v>60736</v>
      </c>
      <c r="K196" s="120"/>
      <c r="L196" s="122"/>
      <c r="M196" s="113"/>
      <c r="N196" s="6"/>
    </row>
    <row r="197" spans="1:14" ht="15.75">
      <c r="A197" s="28"/>
      <c r="B197" s="68" t="s">
        <v>130</v>
      </c>
      <c r="C197" s="120"/>
      <c r="D197" s="121"/>
      <c r="E197" s="120"/>
      <c r="F197" s="121"/>
      <c r="G197" s="120"/>
      <c r="H197" s="121"/>
      <c r="I197" s="120"/>
      <c r="J197" s="123">
        <v>-1789</v>
      </c>
      <c r="K197" s="120"/>
      <c r="L197" s="122"/>
      <c r="M197" s="113"/>
      <c r="N197" s="6"/>
    </row>
    <row r="198" spans="1:14" ht="15.75">
      <c r="A198" s="28"/>
      <c r="B198" s="68" t="s">
        <v>131</v>
      </c>
      <c r="C198" s="120"/>
      <c r="D198" s="121"/>
      <c r="E198" s="120"/>
      <c r="F198" s="121"/>
      <c r="G198" s="120"/>
      <c r="H198" s="121"/>
      <c r="I198" s="120"/>
      <c r="J198" s="123">
        <f>SUM(J195:J197)</f>
        <v>251000</v>
      </c>
      <c r="K198" s="120"/>
      <c r="L198" s="122"/>
      <c r="M198" s="113"/>
      <c r="N198" s="6"/>
    </row>
    <row r="199" spans="1:14" ht="15.75">
      <c r="A199" s="28"/>
      <c r="B199" s="68"/>
      <c r="C199" s="120"/>
      <c r="D199" s="121"/>
      <c r="E199" s="120"/>
      <c r="F199" s="121"/>
      <c r="G199" s="120"/>
      <c r="H199" s="121"/>
      <c r="I199" s="120"/>
      <c r="J199" s="123"/>
      <c r="K199" s="120"/>
      <c r="L199" s="122"/>
      <c r="M199" s="113"/>
      <c r="N199" s="6"/>
    </row>
    <row r="200" spans="1:14" ht="15.75">
      <c r="A200" s="28"/>
      <c r="B200" s="68" t="s">
        <v>132</v>
      </c>
      <c r="C200" s="120"/>
      <c r="D200" s="121"/>
      <c r="E200" s="120"/>
      <c r="F200" s="121"/>
      <c r="G200" s="120"/>
      <c r="H200" s="121"/>
      <c r="I200" s="120"/>
      <c r="J200" s="123">
        <f>L30</f>
        <v>251000</v>
      </c>
      <c r="K200" s="120"/>
      <c r="L200" s="122"/>
      <c r="M200" s="113"/>
      <c r="N200" s="6"/>
    </row>
    <row r="201" spans="1:14" ht="15.75">
      <c r="A201" s="28"/>
      <c r="B201" s="68"/>
      <c r="C201" s="120"/>
      <c r="D201" s="121"/>
      <c r="E201" s="120"/>
      <c r="F201" s="121"/>
      <c r="G201" s="120"/>
      <c r="H201" s="121"/>
      <c r="I201" s="120"/>
      <c r="J201" s="123"/>
      <c r="K201" s="120"/>
      <c r="L201" s="122"/>
      <c r="M201" s="113"/>
      <c r="N201" s="6"/>
    </row>
    <row r="202" spans="1:14" ht="15.75">
      <c r="A202" s="28"/>
      <c r="B202" s="68" t="s">
        <v>133</v>
      </c>
      <c r="C202" s="120"/>
      <c r="D202" s="121"/>
      <c r="E202" s="120"/>
      <c r="F202" s="121"/>
      <c r="G202" s="120"/>
      <c r="H202" s="121"/>
      <c r="I202" s="120"/>
      <c r="J202" s="123">
        <f>J198/J200</f>
        <v>1</v>
      </c>
      <c r="K202" s="120"/>
      <c r="L202" s="122"/>
      <c r="M202" s="113"/>
      <c r="N202" s="6"/>
    </row>
    <row r="203" spans="1:14" ht="15.75">
      <c r="A203" s="28"/>
      <c r="B203" s="29"/>
      <c r="C203" s="29"/>
      <c r="D203" s="36"/>
      <c r="E203" s="29"/>
      <c r="F203" s="29"/>
      <c r="G203" s="29"/>
      <c r="H203" s="66"/>
      <c r="I203" s="130"/>
      <c r="J203" s="67"/>
      <c r="K203" s="130"/>
      <c r="L203" s="99"/>
      <c r="M203" s="29"/>
      <c r="N203" s="6"/>
    </row>
    <row r="204" spans="1:14" ht="15.75">
      <c r="A204" s="131"/>
      <c r="B204" s="33" t="s">
        <v>134</v>
      </c>
      <c r="C204" s="132"/>
      <c r="D204" s="120" t="s">
        <v>153</v>
      </c>
      <c r="E204" s="122"/>
      <c r="F204" s="33" t="s">
        <v>166</v>
      </c>
      <c r="G204" s="133"/>
      <c r="H204" s="133"/>
      <c r="I204" s="133"/>
      <c r="J204" s="134"/>
      <c r="K204" s="32"/>
      <c r="L204" s="32"/>
      <c r="M204" s="32"/>
      <c r="N204" s="6"/>
    </row>
    <row r="205" spans="1:14" ht="15.75">
      <c r="A205" s="135"/>
      <c r="B205" s="15" t="s">
        <v>135</v>
      </c>
      <c r="C205" s="136"/>
      <c r="D205" s="137" t="s">
        <v>154</v>
      </c>
      <c r="E205" s="15"/>
      <c r="F205" s="15" t="s">
        <v>167</v>
      </c>
      <c r="G205" s="136"/>
      <c r="H205" s="136"/>
      <c r="I205" s="14"/>
      <c r="J205" s="14"/>
      <c r="K205" s="14"/>
      <c r="L205" s="14"/>
      <c r="M205" s="14"/>
      <c r="N205" s="6"/>
    </row>
    <row r="206" spans="1:14" ht="15.75">
      <c r="A206" s="135"/>
      <c r="B206" s="15" t="s">
        <v>136</v>
      </c>
      <c r="C206" s="136"/>
      <c r="D206" s="137" t="s">
        <v>155</v>
      </c>
      <c r="E206" s="15"/>
      <c r="F206" s="15" t="s">
        <v>168</v>
      </c>
      <c r="G206" s="136"/>
      <c r="H206" s="136"/>
      <c r="I206" s="14"/>
      <c r="J206" s="14"/>
      <c r="K206" s="14"/>
      <c r="L206" s="14"/>
      <c r="M206" s="14"/>
      <c r="N206" s="6"/>
    </row>
    <row r="207" spans="1:14" ht="15.75">
      <c r="A207" s="135"/>
      <c r="B207" s="15"/>
      <c r="C207" s="136"/>
      <c r="D207" s="137"/>
      <c r="E207" s="15"/>
      <c r="F207" s="15"/>
      <c r="G207" s="136"/>
      <c r="H207" s="136"/>
      <c r="I207" s="14"/>
      <c r="J207" s="14"/>
      <c r="K207" s="14"/>
      <c r="L207" s="14"/>
      <c r="M207" s="14"/>
      <c r="N207" s="6"/>
    </row>
    <row r="208" spans="1:14" ht="15.75">
      <c r="A208" s="135"/>
      <c r="B208" s="15"/>
      <c r="C208" s="136"/>
      <c r="D208" s="137"/>
      <c r="E208" s="15"/>
      <c r="F208" s="15"/>
      <c r="G208" s="136"/>
      <c r="H208" s="136"/>
      <c r="I208" s="14"/>
      <c r="J208" s="14"/>
      <c r="K208" s="14"/>
      <c r="L208" s="14"/>
      <c r="M208" s="14"/>
      <c r="N208" s="6"/>
    </row>
    <row r="209" spans="1:14" ht="15.75">
      <c r="A209" s="135"/>
      <c r="B209" s="15" t="str">
        <f>B148</f>
        <v>PPAF1 INVESTOR REPORT QUARTER ENDING AUGUST 2003</v>
      </c>
      <c r="C209" s="136"/>
      <c r="D209" s="137"/>
      <c r="E209" s="15"/>
      <c r="F209" s="15"/>
      <c r="G209" s="136"/>
      <c r="H209" s="136"/>
      <c r="I209" s="14"/>
      <c r="J209" s="14"/>
      <c r="K209" s="14"/>
      <c r="L209" s="14"/>
      <c r="M209" s="14"/>
      <c r="N209" s="6"/>
    </row>
    <row r="210" spans="1:13" ht="15">
      <c r="A210" s="138"/>
      <c r="B210" s="138"/>
      <c r="C210" s="138"/>
      <c r="D210" s="138"/>
      <c r="E210" s="138"/>
      <c r="F210" s="138"/>
      <c r="G210" s="138"/>
      <c r="H210" s="138"/>
      <c r="I210" s="138"/>
      <c r="J210" s="138"/>
      <c r="K210" s="138"/>
      <c r="L210" s="138"/>
      <c r="M210" s="138"/>
    </row>
  </sheetData>
  <printOptions horizontalCentered="1" verticalCentered="1"/>
  <pageMargins left="0.2362204724409449" right="0.4330708661417323" top="0.2362204724409449" bottom="0.7480314960629921" header="0" footer="0"/>
  <pageSetup horizontalDpi="600" verticalDpi="600" orientation="landscape" paperSize="9" scale="50" r:id="rId2"/>
  <rowBreaks count="4" manualBreakCount="4">
    <brk id="50" max="13" man="1"/>
    <brk id="97" max="13" man="1"/>
    <brk id="148" max="13" man="1"/>
    <brk id="210" max="0"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